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BBE3F3E-2151-43A0-815B-B115CF5912C6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WITHOUT CD" sheetId="1" r:id="rId1"/>
  </sheets>
  <definedNames>
    <definedName name="_xlnm.Print_Area" localSheetId="0">'WITHOUT CD'!$A$1:$H$325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4" i="1" l="1"/>
  <c r="H307" i="1" l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283" i="1" l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259" i="1" l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B279" i="1"/>
  <c r="B278" i="1"/>
  <c r="B277" i="1"/>
  <c r="B276" i="1"/>
  <c r="H253" i="1" l="1"/>
  <c r="H254" i="1"/>
  <c r="H255" i="1"/>
  <c r="H256" i="1"/>
  <c r="H257" i="1"/>
  <c r="H258" i="1"/>
  <c r="H252" i="1"/>
  <c r="H249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33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190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72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51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06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81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5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20" i="1"/>
  <c r="H16" i="1"/>
  <c r="H17" i="1"/>
  <c r="H4" i="1"/>
  <c r="H5" i="1"/>
  <c r="H6" i="1"/>
  <c r="H7" i="1"/>
  <c r="H8" i="1"/>
  <c r="H9" i="1"/>
  <c r="H10" i="1"/>
  <c r="H11" i="1"/>
  <c r="H12" i="1"/>
  <c r="H13" i="1"/>
  <c r="H14" i="1"/>
  <c r="H15" i="1"/>
  <c r="H3" i="1"/>
  <c r="B107" i="1" l="1"/>
  <c r="B179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B83" i="1" l="1"/>
  <c r="B106" i="1"/>
  <c r="B21" i="1" l="1"/>
  <c r="A155" i="1" l="1"/>
  <c r="B155" i="1"/>
  <c r="A92" i="1"/>
  <c r="B92" i="1"/>
  <c r="A99" i="1"/>
  <c r="B99" i="1"/>
  <c r="A167" i="1"/>
  <c r="B167" i="1"/>
  <c r="A128" i="1"/>
  <c r="B128" i="1"/>
  <c r="A130" i="1"/>
  <c r="B130" i="1"/>
  <c r="A131" i="1"/>
  <c r="B131" i="1"/>
  <c r="A135" i="1"/>
  <c r="B135" i="1"/>
  <c r="A142" i="1"/>
  <c r="B142" i="1"/>
  <c r="A144" i="1"/>
  <c r="B144" i="1"/>
  <c r="A133" i="1"/>
  <c r="B133" i="1"/>
  <c r="A147" i="1"/>
  <c r="B147" i="1"/>
  <c r="A151" i="1"/>
  <c r="B151" i="1"/>
  <c r="A156" i="1"/>
  <c r="B156" i="1"/>
  <c r="A157" i="1"/>
  <c r="B157" i="1"/>
  <c r="A152" i="1"/>
  <c r="B152" i="1"/>
  <c r="A162" i="1"/>
  <c r="B162" i="1"/>
  <c r="A165" i="1"/>
  <c r="B165" i="1"/>
  <c r="A168" i="1"/>
  <c r="B168" i="1"/>
  <c r="A35" i="1"/>
  <c r="B35" i="1"/>
  <c r="A37" i="1"/>
  <c r="B37" i="1"/>
  <c r="A40" i="1"/>
  <c r="B40" i="1"/>
  <c r="A39" i="1"/>
  <c r="B39" i="1"/>
  <c r="A45" i="1"/>
  <c r="B45" i="1"/>
  <c r="A46" i="1"/>
  <c r="B46" i="1"/>
  <c r="A47" i="1"/>
  <c r="B47" i="1"/>
  <c r="A52" i="1"/>
  <c r="B52" i="1"/>
  <c r="A53" i="1"/>
  <c r="B53" i="1"/>
  <c r="A54" i="1"/>
  <c r="B54" i="1"/>
  <c r="A55" i="1"/>
  <c r="B55" i="1"/>
  <c r="A56" i="1"/>
  <c r="B56" i="1"/>
  <c r="A61" i="1"/>
  <c r="B61" i="1"/>
  <c r="A62" i="1"/>
  <c r="B62" i="1"/>
  <c r="A68" i="1"/>
  <c r="B68" i="1"/>
  <c r="A72" i="1"/>
  <c r="B72" i="1"/>
  <c r="A74" i="1"/>
  <c r="B74" i="1"/>
  <c r="A69" i="1"/>
  <c r="B69" i="1"/>
  <c r="A76" i="1"/>
  <c r="B76" i="1"/>
  <c r="A113" i="1"/>
  <c r="B113" i="1"/>
  <c r="A101" i="1"/>
  <c r="B101" i="1"/>
  <c r="A44" i="1"/>
  <c r="B44" i="1"/>
  <c r="A38" i="1"/>
  <c r="B38" i="1"/>
  <c r="A93" i="1"/>
  <c r="B93" i="1"/>
  <c r="A98" i="1"/>
  <c r="B98" i="1"/>
  <c r="A87" i="1"/>
  <c r="B87" i="1"/>
  <c r="A106" i="1"/>
  <c r="A120" i="1"/>
  <c r="B120" i="1"/>
  <c r="A96" i="1"/>
  <c r="B96" i="1"/>
  <c r="A119" i="1"/>
  <c r="B119" i="1"/>
  <c r="A22" i="1"/>
  <c r="B22" i="1"/>
  <c r="A24" i="1"/>
  <c r="B24" i="1"/>
  <c r="A25" i="1"/>
  <c r="B25" i="1"/>
  <c r="A26" i="1"/>
  <c r="B26" i="1"/>
  <c r="A20" i="1"/>
  <c r="B20" i="1"/>
  <c r="A29" i="1"/>
  <c r="B29" i="1"/>
  <c r="A31" i="1"/>
  <c r="B31" i="1"/>
  <c r="A95" i="1"/>
  <c r="B95" i="1"/>
  <c r="A81" i="1"/>
  <c r="B81" i="1"/>
  <c r="A82" i="1"/>
  <c r="B82" i="1"/>
  <c r="A125" i="1"/>
  <c r="B125" i="1"/>
  <c r="A42" i="1"/>
  <c r="B42" i="1"/>
  <c r="A116" i="1"/>
  <c r="B116" i="1"/>
  <c r="A122" i="1"/>
  <c r="B122" i="1"/>
  <c r="A91" i="1"/>
  <c r="B91" i="1"/>
  <c r="A160" i="1"/>
  <c r="B160" i="1"/>
  <c r="A136" i="1"/>
  <c r="B136" i="1"/>
  <c r="A83" i="1"/>
  <c r="A117" i="1"/>
  <c r="B117" i="1"/>
  <c r="A123" i="1"/>
  <c r="B123" i="1"/>
  <c r="A110" i="1"/>
  <c r="B110" i="1"/>
  <c r="A102" i="1"/>
  <c r="B102" i="1"/>
  <c r="A153" i="1"/>
  <c r="B153" i="1"/>
  <c r="A127" i="1"/>
  <c r="B127" i="1"/>
  <c r="A11" i="1"/>
  <c r="B11" i="1"/>
  <c r="A12" i="1"/>
  <c r="B12" i="1"/>
  <c r="A13" i="1"/>
  <c r="B13" i="1"/>
  <c r="A14" i="1"/>
  <c r="B14" i="1"/>
  <c r="A15" i="1"/>
  <c r="B15" i="1"/>
  <c r="A17" i="1"/>
  <c r="B17" i="1"/>
  <c r="A16" i="1"/>
  <c r="B16" i="1"/>
  <c r="A64" i="1"/>
  <c r="B64" i="1"/>
  <c r="A78" i="1"/>
  <c r="B78" i="1"/>
  <c r="A71" i="1"/>
  <c r="B71" i="1"/>
  <c r="A66" i="1"/>
  <c r="B66" i="1"/>
  <c r="A67" i="1"/>
  <c r="B67" i="1"/>
  <c r="A84" i="1"/>
  <c r="B84" i="1"/>
  <c r="A132" i="1"/>
  <c r="B132" i="1"/>
  <c r="A107" i="1"/>
  <c r="A86" i="1"/>
  <c r="B86" i="1"/>
  <c r="A85" i="1"/>
  <c r="B85" i="1"/>
  <c r="A94" i="1"/>
  <c r="B94" i="1"/>
  <c r="A140" i="1"/>
  <c r="B140" i="1"/>
  <c r="A108" i="1"/>
  <c r="B108" i="1"/>
  <c r="A129" i="1"/>
  <c r="B129" i="1"/>
  <c r="A134" i="1"/>
  <c r="B134" i="1"/>
  <c r="A137" i="1"/>
  <c r="B137" i="1"/>
  <c r="A138" i="1"/>
  <c r="B138" i="1"/>
  <c r="A148" i="1"/>
  <c r="B148" i="1"/>
  <c r="A111" i="1"/>
  <c r="B111" i="1"/>
  <c r="A112" i="1"/>
  <c r="B112" i="1"/>
  <c r="A115" i="1"/>
  <c r="B115" i="1"/>
  <c r="A114" i="1"/>
  <c r="B114" i="1"/>
  <c r="A124" i="1"/>
  <c r="B124" i="1"/>
  <c r="A141" i="1"/>
  <c r="B141" i="1"/>
  <c r="A145" i="1"/>
  <c r="B145" i="1"/>
  <c r="A3" i="1"/>
  <c r="B3" i="1"/>
  <c r="A5" i="1"/>
  <c r="B5" i="1"/>
  <c r="A7" i="1"/>
  <c r="B7" i="1"/>
  <c r="A8" i="1"/>
  <c r="B8" i="1"/>
  <c r="A9" i="1"/>
  <c r="B9" i="1"/>
  <c r="A10" i="1"/>
  <c r="B10" i="1"/>
  <c r="A143" i="1"/>
  <c r="B143" i="1"/>
  <c r="A77" i="1"/>
  <c r="B77" i="1"/>
  <c r="A89" i="1"/>
  <c r="B89" i="1"/>
  <c r="A100" i="1"/>
  <c r="B100" i="1"/>
  <c r="A90" i="1"/>
  <c r="B90" i="1"/>
  <c r="A118" i="1"/>
  <c r="B118" i="1"/>
  <c r="A146" i="1"/>
  <c r="B146" i="1"/>
  <c r="A30" i="1"/>
  <c r="B30" i="1"/>
  <c r="A33" i="1"/>
  <c r="B33" i="1"/>
  <c r="A21" i="1"/>
  <c r="A23" i="1"/>
  <c r="B23" i="1"/>
  <c r="A27" i="1"/>
  <c r="B27" i="1"/>
  <c r="A34" i="1"/>
  <c r="B34" i="1"/>
  <c r="A36" i="1"/>
  <c r="B36" i="1"/>
  <c r="A41" i="1"/>
  <c r="B41" i="1"/>
  <c r="A43" i="1"/>
  <c r="B43" i="1"/>
  <c r="A59" i="1"/>
  <c r="B59" i="1"/>
  <c r="A60" i="1"/>
  <c r="B60" i="1"/>
  <c r="A70" i="1"/>
  <c r="B70" i="1"/>
  <c r="A75" i="1"/>
  <c r="B75" i="1"/>
  <c r="A73" i="1"/>
  <c r="B73" i="1"/>
  <c r="A32" i="1"/>
  <c r="B32" i="1"/>
  <c r="A28" i="1"/>
  <c r="B28" i="1"/>
  <c r="A57" i="1"/>
  <c r="B57" i="1"/>
  <c r="A121" i="1"/>
  <c r="B121" i="1"/>
  <c r="A126" i="1"/>
  <c r="B126" i="1"/>
  <c r="A139" i="1"/>
  <c r="B139" i="1"/>
  <c r="A97" i="1"/>
  <c r="B97" i="1"/>
  <c r="A103" i="1"/>
  <c r="B103" i="1"/>
  <c r="A88" i="1"/>
  <c r="B88" i="1"/>
  <c r="A164" i="1"/>
  <c r="B164" i="1"/>
  <c r="A166" i="1"/>
  <c r="B166" i="1"/>
  <c r="A159" i="1"/>
  <c r="B159" i="1"/>
  <c r="A158" i="1"/>
  <c r="B158" i="1"/>
  <c r="A51" i="1"/>
  <c r="B51" i="1"/>
  <c r="A163" i="1"/>
  <c r="B163" i="1"/>
  <c r="A4" i="1"/>
  <c r="B4" i="1"/>
  <c r="A109" i="1"/>
  <c r="B109" i="1"/>
  <c r="A6" i="1"/>
  <c r="B6" i="1"/>
  <c r="A161" i="1"/>
  <c r="B161" i="1"/>
  <c r="A154" i="1"/>
  <c r="B154" i="1"/>
  <c r="A63" i="1"/>
  <c r="B63" i="1"/>
  <c r="A65" i="1"/>
  <c r="B65" i="1"/>
  <c r="A50" i="1"/>
  <c r="B50" i="1"/>
  <c r="A58" i="1"/>
  <c r="B58" i="1"/>
</calcChain>
</file>

<file path=xl/sharedStrings.xml><?xml version="1.0" encoding="utf-8"?>
<sst xmlns="http://schemas.openxmlformats.org/spreadsheetml/2006/main" count="374" uniqueCount="184">
  <si>
    <t>8&amp;9</t>
  </si>
  <si>
    <t>5 pts</t>
  </si>
  <si>
    <t>Stage</t>
  </si>
  <si>
    <t>Title</t>
  </si>
  <si>
    <t>9788131914519</t>
  </si>
  <si>
    <t>Pegasus Abridged Around The World In 80 Days</t>
  </si>
  <si>
    <t>9788131914526</t>
  </si>
  <si>
    <t>Pegasus Abridged Swiss Family Robinson</t>
  </si>
  <si>
    <t>9788131914533</t>
  </si>
  <si>
    <t>Pegasus Abridged The Adventures Of Tom Sawyer</t>
  </si>
  <si>
    <t>9788131914540</t>
  </si>
  <si>
    <t>Pegasus Abridged Tom Brown'S School Days</t>
  </si>
  <si>
    <t>9788131914557</t>
  </si>
  <si>
    <t>Pegasus Abridged Adventures Of Huckleberry Finn</t>
  </si>
  <si>
    <t>9788131914564</t>
  </si>
  <si>
    <t>Pegasus Abridged Treasure Island</t>
  </si>
  <si>
    <t>9788131914571</t>
  </si>
  <si>
    <t>Pegasus Abridged David Copperfield</t>
  </si>
  <si>
    <t>9788131914588</t>
  </si>
  <si>
    <t>Pegasus Abridged The Time Machine</t>
  </si>
  <si>
    <t>9788131914595</t>
  </si>
  <si>
    <t>Pegasus Abridged Little Women</t>
  </si>
  <si>
    <t>9788131917039</t>
  </si>
  <si>
    <t>Pegasus Abridged Jungle Book</t>
  </si>
  <si>
    <t>9788131917695</t>
  </si>
  <si>
    <t>Pegasus Abridged Gullivers Travels</t>
  </si>
  <si>
    <t>9788131917701</t>
  </si>
  <si>
    <t>Pegasus Abridged Oliver Twist</t>
  </si>
  <si>
    <t>9788131917718</t>
  </si>
  <si>
    <t>Pegasus Abridged Robin Hood</t>
  </si>
  <si>
    <t>9788131917787</t>
  </si>
  <si>
    <t>Pegasus Abridged Journey To The Centre Of Earth</t>
  </si>
  <si>
    <t>9788131917794</t>
  </si>
  <si>
    <t>Pegasus Abridged Frankenstein</t>
  </si>
  <si>
    <t>9788131918166</t>
  </si>
  <si>
    <t>Pegasus Abridged Three Musketeers</t>
  </si>
  <si>
    <t>9788131919262</t>
  </si>
  <si>
    <t>Pegasus Abridged King Solomon'S Mines</t>
  </si>
  <si>
    <t>9788131930243</t>
  </si>
  <si>
    <t>Pegasus Abridged Peter Pan</t>
  </si>
  <si>
    <t>9788131930281</t>
  </si>
  <si>
    <t>Pegasus Abridged Dr.Jekyll &amp; Hyde</t>
  </si>
  <si>
    <t>9788131931318</t>
  </si>
  <si>
    <t>Pegasus Abridged Great Expectations</t>
  </si>
  <si>
    <t>9788131932551</t>
  </si>
  <si>
    <t>Pegasus Abridged The Lost World</t>
  </si>
  <si>
    <t>9788131933015</t>
  </si>
  <si>
    <t>Pegasus Abridged Kidnapped</t>
  </si>
  <si>
    <t>9788131933541</t>
  </si>
  <si>
    <t>Pegasus Abridged Twenty Thousand Leagues Under t</t>
  </si>
  <si>
    <t>Pegasus Abridged The Hunchnack Of Notre-Dame</t>
  </si>
  <si>
    <t>9788131936764</t>
  </si>
  <si>
    <t>Pegasus Abridged King Arthur</t>
  </si>
  <si>
    <t>9788131936771</t>
  </si>
  <si>
    <t>Pegasus Abridged Three Men In A Boat</t>
  </si>
  <si>
    <t>9788131936788</t>
  </si>
  <si>
    <t>Pegasus Abridged A Tale Of Two Cities</t>
  </si>
  <si>
    <t>9788131936795</t>
  </si>
  <si>
    <t>Pegasus Abridged The Dairy Of A Young Girl</t>
  </si>
  <si>
    <t>9788131936832</t>
  </si>
  <si>
    <t>Pegasus Abridged Pride And Prejudice</t>
  </si>
  <si>
    <t>9788131936849</t>
  </si>
  <si>
    <t>Pegasus Abridged Heidi</t>
  </si>
  <si>
    <t>9788131936856</t>
  </si>
  <si>
    <t>Pegasus Abridged Jane Eyre</t>
  </si>
  <si>
    <t>9788131936863</t>
  </si>
  <si>
    <t>Pegasus Abridged Uncle Tom'S Cabin</t>
  </si>
  <si>
    <t>9788131936870</t>
  </si>
  <si>
    <t>Pegasus Abridged The Great Gatsby</t>
  </si>
  <si>
    <t>9788131936894</t>
  </si>
  <si>
    <t>Pegasus Abridged The Prince And The Pauper</t>
  </si>
  <si>
    <t>9788131936900</t>
  </si>
  <si>
    <t>Pegasus Abridged Les Miserables</t>
  </si>
  <si>
    <t>9788131936917</t>
  </si>
  <si>
    <t>Pegasus Abridged Moby Dick</t>
  </si>
  <si>
    <t>9788131936931</t>
  </si>
  <si>
    <t>Pegasus Abridged Dracula</t>
  </si>
  <si>
    <t>9788131936948</t>
  </si>
  <si>
    <t>Pegasus Abridged Emma</t>
  </si>
  <si>
    <t>9788131936955</t>
  </si>
  <si>
    <t>Pegasus Abridged Hard Times</t>
  </si>
  <si>
    <t>9788131936993</t>
  </si>
  <si>
    <t>Pegasus Abridged Alice In Wonderland</t>
  </si>
  <si>
    <t>9788131937006</t>
  </si>
  <si>
    <t>Pegasus Abridged The Wonderlands Wizard Of Oz</t>
  </si>
  <si>
    <t>Pegasus Classics Gullivers Travels</t>
  </si>
  <si>
    <t>Pegasus Classics Adventures Of Huckleberry Finn</t>
  </si>
  <si>
    <t>Pegasus Classics Jungle Book</t>
  </si>
  <si>
    <t>Pegasus Classics Pinocchio</t>
  </si>
  <si>
    <t>Pegasus Classics Robinson Crusoe</t>
  </si>
  <si>
    <t>Pegasus Classics Three Musketeers</t>
  </si>
  <si>
    <t>Pegasus Classics The Wonderful Wizard Of Oz</t>
  </si>
  <si>
    <t>Pegasus Classics Treasure Island</t>
  </si>
  <si>
    <t>Pegasus Classics Alice In Wonderland</t>
  </si>
  <si>
    <t>Pegasus Classics Heidi</t>
  </si>
  <si>
    <t>Pegasus Classics Peter Pan</t>
  </si>
  <si>
    <t>Adventures Of Tom Sawyer</t>
  </si>
  <si>
    <t>Pegasus Classics Robin Hood</t>
  </si>
  <si>
    <t>Pegasus Classics The Secreet Garden</t>
  </si>
  <si>
    <t>Pegasus Classics Railway Children</t>
  </si>
  <si>
    <t>Pegasus Sherlock Holmes Silver Blaze &amp; Oher Stories</t>
  </si>
  <si>
    <t>Pegasus Sherlock Holmes A Scandel In Bohemia &amp; Other Stories</t>
  </si>
  <si>
    <t>Pegasus Sherlock Holmes The Musgrave Ritual &amp; Other Stories</t>
  </si>
  <si>
    <t>Pegasus Sherlock Holmes The Sign Of The Four</t>
  </si>
  <si>
    <t>Pegasus Sherlock Holmes A Study In Scarlet</t>
  </si>
  <si>
    <t>Pegasus Sherlock Holmes The Hound Of The Baskervilles</t>
  </si>
  <si>
    <t xml:space="preserve">Pegasus Sherlock Holmes The Valley Of Fear </t>
  </si>
  <si>
    <t>Pegasus Sherlock Holmes The Dancing Men &amp; Other Stories</t>
  </si>
  <si>
    <t>8 &amp; 9</t>
  </si>
  <si>
    <t>7 &amp; 8</t>
  </si>
  <si>
    <t>9 &amp; 10</t>
  </si>
  <si>
    <t>MacMillan Starter Level</t>
  </si>
  <si>
    <t>MacMillan Beginner Level</t>
  </si>
  <si>
    <t>MacMillan Elementary Level</t>
  </si>
  <si>
    <t>MacMillan Pre-intermediate Level</t>
  </si>
  <si>
    <t>MacMillan Intermediate Level</t>
  </si>
  <si>
    <t>MacMillan Upper Intermediate Level</t>
  </si>
  <si>
    <t>Pegasus Sherlock Holmes Series</t>
  </si>
  <si>
    <t>Pegasus Classics Series</t>
  </si>
  <si>
    <t>Pegasus Abridged Classics Series</t>
  </si>
  <si>
    <t>Pegasus People Who Changed the World Series</t>
  </si>
  <si>
    <t>List price</t>
  </si>
  <si>
    <t xml:space="preserve">Discount </t>
  </si>
  <si>
    <t>Pegasus The Little Prince</t>
  </si>
  <si>
    <t>TOTAL</t>
  </si>
  <si>
    <t>Catalogue #</t>
  </si>
  <si>
    <t>Express Publishing Illustrated Readers</t>
  </si>
  <si>
    <t>Express Graded Readers</t>
  </si>
  <si>
    <t>Express Classic Readers</t>
  </si>
  <si>
    <t xml:space="preserve">Weak 7th </t>
  </si>
  <si>
    <t xml:space="preserve">10&amp;11 </t>
  </si>
  <si>
    <t>4&amp;5  10-12</t>
  </si>
  <si>
    <t xml:space="preserve"> THE CREEPING MAN</t>
  </si>
  <si>
    <t xml:space="preserve"> THE MYSTERIOUS ISLAND</t>
  </si>
  <si>
    <t xml:space="preserve"> TREASURE ISLAND</t>
  </si>
  <si>
    <t xml:space="preserve"> GREAT EXPECTATIONS</t>
  </si>
  <si>
    <t>THE PORTRAIT OF DORIAN GRAY</t>
  </si>
  <si>
    <t>vCOUNT VLAD</t>
  </si>
  <si>
    <t>SIMON DECKER &amp; THE SECRET FORMULA"</t>
  </si>
  <si>
    <t>ROBINSON CRUSOE</t>
  </si>
  <si>
    <t>THE LAST OF THE MOHICANS</t>
  </si>
  <si>
    <t>DR JEKYLL &amp; MR HYDE</t>
  </si>
  <si>
    <t>BEAUTY AND THE BEAST</t>
  </si>
  <si>
    <t xml:space="preserve"> 20,000 LEAGUES UNDER THE SEA</t>
  </si>
  <si>
    <t xml:space="preserve"> THE GOLDEN STONE SAGA I</t>
  </si>
  <si>
    <t xml:space="preserve"> THE MAN IN THE IRON MASK</t>
  </si>
  <si>
    <t xml:space="preserve"> DEATH SQUAD</t>
  </si>
  <si>
    <t xml:space="preserve"> ORPHEUS DESCENDING</t>
  </si>
  <si>
    <t xml:space="preserve"> THE BLUE SCARAB</t>
  </si>
  <si>
    <t xml:space="preserve"> PERSEUS AND ANDROMEDA</t>
  </si>
  <si>
    <t xml:space="preserve"> HAMPTON HOUSE</t>
  </si>
  <si>
    <t xml:space="preserve"> SWAN LAKE</t>
  </si>
  <si>
    <t xml:space="preserve"> BLACKBEARD'S TREASURE</t>
  </si>
  <si>
    <t xml:space="preserve"> EXCALIBUR</t>
  </si>
  <si>
    <t xml:space="preserve"> THE GOLDEN STONE SAGA II</t>
  </si>
  <si>
    <t xml:space="preserve"> THE TEMPEST</t>
  </si>
  <si>
    <t xml:space="preserve"> OLIVER TWIST</t>
  </si>
  <si>
    <t xml:space="preserve"> JANE EYRE</t>
  </si>
  <si>
    <t xml:space="preserve"> DAVID COPPERFIELD</t>
  </si>
  <si>
    <t xml:space="preserve"> WHITE FANG</t>
  </si>
  <si>
    <t xml:space="preserve"> THE PHANTOM OF THE OPERA</t>
  </si>
  <si>
    <t xml:space="preserve"> AROUND THE WORLD IN 80 DAYS</t>
  </si>
  <si>
    <t xml:space="preserve"> A TALE OF TWO CITIES</t>
  </si>
  <si>
    <t xml:space="preserve"> MOWGLI</t>
  </si>
  <si>
    <t xml:space="preserve"> WUTHERING HEIGHTS</t>
  </si>
  <si>
    <t xml:space="preserve"> LITTLE WOMEN</t>
  </si>
  <si>
    <t xml:space="preserve"> PRIDE AND PREJUDICE</t>
  </si>
  <si>
    <t xml:space="preserve"> MOBY DICK WITH CROSS-PLATFORM APP</t>
  </si>
  <si>
    <t xml:space="preserve"> GOOD WIVES</t>
  </si>
  <si>
    <t xml:space="preserve"> BLACK BEAUTY</t>
  </si>
  <si>
    <t xml:space="preserve"> THE WAR OF THE WORLDS</t>
  </si>
  <si>
    <t>JOURNEY TO THE CENTRE OF THE EARTH</t>
  </si>
  <si>
    <t>LIFE EXCHANGE</t>
  </si>
  <si>
    <t>FRANKENSTEIN</t>
  </si>
  <si>
    <t xml:space="preserve"> THE SPECKLED BAND</t>
  </si>
  <si>
    <t xml:space="preserve"> THE HOUND OF THE BASKERVILLES</t>
  </si>
  <si>
    <t xml:space="preserve"> ROBIN HOOD</t>
  </si>
  <si>
    <t xml:space="preserve"> ROMEO &amp; JULIET</t>
  </si>
  <si>
    <t xml:space="preserve"> A MIDSUMMER NIGHT'S DREAM</t>
  </si>
  <si>
    <t xml:space="preserve"> MACBETH</t>
  </si>
  <si>
    <t xml:space="preserve"> KIDNAPPED</t>
  </si>
  <si>
    <t>~ Grade Level</t>
  </si>
  <si>
    <t xml:space="preserve">TOTAL incl TAX, after discount </t>
  </si>
  <si>
    <t xml:space="preserve">Quantity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</si>
</sst>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&quot;₪&quot;\ #,##0.00"/>
    <numFmt numFmtId="165" formatCode="&quot;₪&quot;\ #,##0.0"/>
    <numFmt numFmtId="166" formatCode="0.0"/>
  </numFmts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0" xfId="0" applyFill="1"/>
    <xf numFmtId="0" fontId="0" fillId="4" borderId="0" xfId="0" applyFill="1"/>
    <xf numFmtId="0" fontId="0" fillId="5" borderId="0" xfId="0" applyFill="1" applyBorder="1"/>
    <xf numFmtId="0" fontId="0" fillId="6" borderId="0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7" xfId="0" applyFill="1" applyBorder="1"/>
    <xf numFmtId="0" fontId="0" fillId="5" borderId="4" xfId="0" applyFill="1" applyBorder="1"/>
    <xf numFmtId="0" fontId="0" fillId="6" borderId="4" xfId="0" applyFill="1" applyBorder="1"/>
    <xf numFmtId="49" fontId="0" fillId="7" borderId="0" xfId="0" applyNumberFormat="1" applyFont="1" applyFill="1" applyBorder="1" applyAlignment="1">
      <alignment horizontal="left"/>
    </xf>
    <xf numFmtId="1" fontId="0" fillId="7" borderId="4" xfId="0" applyNumberFormat="1" applyFont="1" applyFill="1" applyBorder="1" applyAlignment="1">
      <alignment horizontal="left"/>
    </xf>
    <xf numFmtId="1" fontId="0" fillId="7" borderId="6" xfId="0" applyNumberFormat="1" applyFont="1" applyFill="1" applyBorder="1" applyAlignment="1">
      <alignment horizontal="left"/>
    </xf>
    <xf numFmtId="49" fontId="0" fillId="7" borderId="7" xfId="0" applyNumberFormat="1" applyFont="1" applyFill="1" applyBorder="1" applyAlignment="1">
      <alignment horizontal="left"/>
    </xf>
    <xf numFmtId="1" fontId="0" fillId="8" borderId="4" xfId="0" applyNumberFormat="1" applyFont="1" applyFill="1" applyBorder="1" applyAlignment="1">
      <alignment horizontal="left"/>
    </xf>
    <xf numFmtId="49" fontId="0" fillId="8" borderId="0" xfId="0" applyNumberFormat="1" applyFont="1" applyFill="1" applyBorder="1" applyAlignment="1">
      <alignment horizontal="left"/>
    </xf>
    <xf numFmtId="0" fontId="0" fillId="8" borderId="0" xfId="0" applyFill="1" applyBorder="1"/>
    <xf numFmtId="1" fontId="0" fillId="8" borderId="6" xfId="0" applyNumberFormat="1" applyFont="1" applyFill="1" applyBorder="1" applyAlignment="1">
      <alignment horizontal="left"/>
    </xf>
    <xf numFmtId="49" fontId="0" fillId="8" borderId="7" xfId="0" applyNumberFormat="1" applyFont="1" applyFill="1" applyBorder="1" applyAlignment="1">
      <alignment horizontal="left"/>
    </xf>
    <xf numFmtId="0" fontId="0" fillId="8" borderId="7" xfId="0" applyFill="1" applyBorder="1"/>
    <xf numFmtId="0" fontId="0" fillId="9" borderId="2" xfId="0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6" xfId="0" applyFill="1" applyBorder="1"/>
    <xf numFmtId="0" fontId="0" fillId="9" borderId="7" xfId="0" applyFill="1" applyBorder="1"/>
    <xf numFmtId="0" fontId="0" fillId="10" borderId="2" xfId="0" applyFill="1" applyBorder="1"/>
    <xf numFmtId="0" fontId="0" fillId="10" borderId="4" xfId="0" applyFill="1" applyBorder="1"/>
    <xf numFmtId="0" fontId="0" fillId="10" borderId="0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1" borderId="2" xfId="0" applyFill="1" applyBorder="1"/>
    <xf numFmtId="0" fontId="0" fillId="11" borderId="4" xfId="0" applyFill="1" applyBorder="1"/>
    <xf numFmtId="0" fontId="0" fillId="11" borderId="0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2" borderId="2" xfId="0" applyFill="1" applyBorder="1"/>
    <xf numFmtId="0" fontId="0" fillId="12" borderId="4" xfId="0" applyFill="1" applyBorder="1"/>
    <xf numFmtId="0" fontId="0" fillId="12" borderId="0" xfId="0" applyFill="1" applyBorder="1"/>
    <xf numFmtId="0" fontId="0" fillId="12" borderId="6" xfId="0" applyFill="1" applyBorder="1"/>
    <xf numFmtId="0" fontId="0" fillId="12" borderId="7" xfId="0" applyFill="1" applyBorder="1"/>
    <xf numFmtId="164" fontId="1" fillId="2" borderId="2" xfId="0" applyNumberFormat="1" applyFont="1" applyFill="1" applyBorder="1" applyAlignment="1">
      <alignment horizontal="left" vertical="top"/>
    </xf>
    <xf numFmtId="164" fontId="0" fillId="2" borderId="0" xfId="0" applyNumberFormat="1" applyFill="1" applyBorder="1" applyAlignment="1">
      <alignment horizontal="left" vertical="top"/>
    </xf>
    <xf numFmtId="164" fontId="0" fillId="2" borderId="7" xfId="0" applyNumberFormat="1" applyFill="1" applyBorder="1" applyAlignment="1">
      <alignment horizontal="left" vertical="top"/>
    </xf>
    <xf numFmtId="164" fontId="0" fillId="9" borderId="2" xfId="0" applyNumberFormat="1" applyFill="1" applyBorder="1" applyAlignment="1">
      <alignment horizontal="left" vertical="top"/>
    </xf>
    <xf numFmtId="164" fontId="0" fillId="9" borderId="0" xfId="0" applyNumberFormat="1" applyFill="1" applyBorder="1" applyAlignment="1">
      <alignment horizontal="left" vertical="top"/>
    </xf>
    <xf numFmtId="164" fontId="0" fillId="9" borderId="7" xfId="0" applyNumberFormat="1" applyFill="1" applyBorder="1" applyAlignment="1">
      <alignment horizontal="left" vertical="top"/>
    </xf>
    <xf numFmtId="164" fontId="0" fillId="10" borderId="2" xfId="0" applyNumberFormat="1" applyFill="1" applyBorder="1" applyAlignment="1">
      <alignment horizontal="left" vertical="top"/>
    </xf>
    <xf numFmtId="164" fontId="0" fillId="10" borderId="0" xfId="0" applyNumberFormat="1" applyFill="1" applyBorder="1" applyAlignment="1">
      <alignment horizontal="left" vertical="top"/>
    </xf>
    <xf numFmtId="164" fontId="0" fillId="10" borderId="7" xfId="0" applyNumberFormat="1" applyFill="1" applyBorder="1" applyAlignment="1">
      <alignment horizontal="left" vertical="top"/>
    </xf>
    <xf numFmtId="164" fontId="0" fillId="11" borderId="2" xfId="0" applyNumberFormat="1" applyFill="1" applyBorder="1"/>
    <xf numFmtId="164" fontId="0" fillId="11" borderId="0" xfId="0" applyNumberFormat="1" applyFill="1" applyBorder="1" applyAlignment="1">
      <alignment horizontal="left" vertical="top"/>
    </xf>
    <xf numFmtId="164" fontId="0" fillId="12" borderId="2" xfId="0" applyNumberFormat="1" applyFill="1" applyBorder="1"/>
    <xf numFmtId="164" fontId="0" fillId="12" borderId="0" xfId="0" applyNumberForma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0" fillId="5" borderId="2" xfId="0" applyNumberFormat="1" applyFill="1" applyBorder="1" applyAlignment="1">
      <alignment horizontal="left" vertical="top"/>
    </xf>
    <xf numFmtId="164" fontId="0" fillId="5" borderId="0" xfId="0" applyNumberFormat="1" applyFill="1" applyBorder="1" applyAlignment="1">
      <alignment horizontal="left" vertical="top"/>
    </xf>
    <xf numFmtId="164" fontId="0" fillId="6" borderId="2" xfId="0" applyNumberFormat="1" applyFill="1" applyBorder="1" applyAlignment="1">
      <alignment horizontal="left" vertical="top"/>
    </xf>
    <xf numFmtId="164" fontId="0" fillId="6" borderId="0" xfId="0" applyNumberFormat="1" applyFill="1" applyBorder="1" applyAlignment="1">
      <alignment horizontal="left" vertical="top"/>
    </xf>
    <xf numFmtId="164" fontId="0" fillId="7" borderId="2" xfId="0" applyNumberFormat="1" applyFill="1" applyBorder="1" applyAlignment="1">
      <alignment horizontal="left" vertical="top"/>
    </xf>
    <xf numFmtId="164" fontId="0" fillId="7" borderId="0" xfId="0" applyNumberFormat="1" applyFill="1" applyBorder="1" applyAlignment="1">
      <alignment horizontal="left" vertical="top"/>
    </xf>
    <xf numFmtId="164" fontId="0" fillId="7" borderId="7" xfId="0" applyNumberFormat="1" applyFill="1" applyBorder="1" applyAlignment="1">
      <alignment horizontal="left" vertical="top"/>
    </xf>
    <xf numFmtId="164" fontId="0" fillId="8" borderId="2" xfId="0" applyNumberFormat="1" applyFill="1" applyBorder="1" applyAlignment="1">
      <alignment horizontal="left" vertical="top"/>
    </xf>
    <xf numFmtId="164" fontId="0" fillId="8" borderId="0" xfId="0" applyNumberFormat="1" applyFill="1" applyBorder="1" applyAlignment="1">
      <alignment horizontal="left" vertical="top"/>
    </xf>
    <xf numFmtId="164" fontId="0" fillId="8" borderId="7" xfId="0" applyNumberFormat="1" applyFill="1" applyBorder="1" applyAlignment="1">
      <alignment horizontal="left" vertical="top"/>
    </xf>
    <xf numFmtId="9" fontId="1" fillId="2" borderId="2" xfId="0" applyNumberFormat="1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9" fontId="0" fillId="9" borderId="2" xfId="0" applyNumberFormat="1" applyFill="1" applyBorder="1" applyAlignment="1">
      <alignment horizontal="center" vertical="center"/>
    </xf>
    <xf numFmtId="9" fontId="0" fillId="9" borderId="0" xfId="0" applyNumberFormat="1" applyFill="1" applyBorder="1" applyAlignment="1">
      <alignment horizontal="center" vertical="center"/>
    </xf>
    <xf numFmtId="9" fontId="0" fillId="9" borderId="7" xfId="0" applyNumberFormat="1" applyFill="1" applyBorder="1" applyAlignment="1">
      <alignment horizontal="center" vertical="center"/>
    </xf>
    <xf numFmtId="9" fontId="0" fillId="10" borderId="2" xfId="0" applyNumberFormat="1" applyFill="1" applyBorder="1" applyAlignment="1">
      <alignment horizontal="center" vertical="center"/>
    </xf>
    <xf numFmtId="9" fontId="0" fillId="10" borderId="0" xfId="0" applyNumberFormat="1" applyFill="1" applyBorder="1" applyAlignment="1">
      <alignment horizontal="center" vertical="center"/>
    </xf>
    <xf numFmtId="9" fontId="0" fillId="11" borderId="2" xfId="0" applyNumberFormat="1" applyFill="1" applyBorder="1"/>
    <xf numFmtId="9" fontId="0" fillId="11" borderId="0" xfId="0" applyNumberFormat="1" applyFill="1" applyBorder="1" applyAlignment="1">
      <alignment horizontal="center" vertical="center"/>
    </xf>
    <xf numFmtId="9" fontId="0" fillId="12" borderId="2" xfId="0" applyNumberFormat="1" applyFill="1" applyBorder="1"/>
    <xf numFmtId="9" fontId="0" fillId="12" borderId="0" xfId="0" applyNumberFormat="1" applyFill="1" applyBorder="1" applyAlignment="1">
      <alignment horizontal="center" vertical="center"/>
    </xf>
    <xf numFmtId="9" fontId="0" fillId="12" borderId="7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5" borderId="2" xfId="0" applyNumberFormat="1" applyFill="1" applyBorder="1" applyAlignment="1">
      <alignment horizontal="center" vertical="center"/>
    </xf>
    <xf numFmtId="9" fontId="0" fillId="5" borderId="0" xfId="0" applyNumberFormat="1" applyFill="1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9" fontId="0" fillId="6" borderId="0" xfId="0" applyNumberFormat="1" applyFill="1" applyBorder="1" applyAlignment="1">
      <alignment horizontal="center" vertical="center"/>
    </xf>
    <xf numFmtId="9" fontId="0" fillId="7" borderId="2" xfId="0" applyNumberFormat="1" applyFill="1" applyBorder="1" applyAlignment="1">
      <alignment horizontal="center" vertical="center"/>
    </xf>
    <xf numFmtId="9" fontId="0" fillId="7" borderId="0" xfId="0" applyNumberFormat="1" applyFill="1" applyBorder="1" applyAlignment="1">
      <alignment horizontal="center" vertical="center"/>
    </xf>
    <xf numFmtId="9" fontId="0" fillId="8" borderId="2" xfId="0" applyNumberFormat="1" applyFill="1" applyBorder="1" applyAlignment="1">
      <alignment horizontal="center" vertical="center"/>
    </xf>
    <xf numFmtId="9" fontId="0" fillId="8" borderId="0" xfId="0" applyNumberFormat="1" applyFill="1" applyBorder="1" applyAlignment="1">
      <alignment horizontal="center" vertical="center"/>
    </xf>
    <xf numFmtId="9" fontId="0" fillId="8" borderId="7" xfId="0" applyNumberFormat="1" applyFill="1" applyBorder="1" applyAlignment="1">
      <alignment horizontal="center" vertical="center"/>
    </xf>
    <xf numFmtId="166" fontId="1" fillId="2" borderId="3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/>
    <xf numFmtId="165" fontId="0" fillId="2" borderId="5" xfId="0" applyNumberFormat="1" applyFill="1" applyBorder="1" applyProtection="1">
      <protection hidden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left" vertical="top"/>
    </xf>
    <xf numFmtId="9" fontId="0" fillId="0" borderId="0" xfId="0" applyNumberFormat="1" applyFill="1" applyBorder="1" applyAlignment="1">
      <alignment horizontal="center" vertical="center"/>
    </xf>
    <xf numFmtId="165" fontId="0" fillId="0" borderId="5" xfId="0" applyNumberFormat="1" applyFill="1" applyBorder="1" applyProtection="1">
      <protection hidden="1"/>
    </xf>
    <xf numFmtId="0" fontId="0" fillId="0" borderId="0" xfId="0" applyFill="1"/>
    <xf numFmtId="165" fontId="0" fillId="9" borderId="5" xfId="0" applyNumberFormat="1" applyFill="1" applyBorder="1" applyProtection="1">
      <protection hidden="1"/>
    </xf>
    <xf numFmtId="165" fontId="0" fillId="9" borderId="3" xfId="0" applyNumberFormat="1" applyFill="1" applyBorder="1" applyProtection="1">
      <protection hidden="1"/>
    </xf>
    <xf numFmtId="164" fontId="0" fillId="0" borderId="0" xfId="0" applyNumberFormat="1" applyFill="1" applyAlignment="1">
      <alignment horizontal="left" vertical="top"/>
    </xf>
    <xf numFmtId="9" fontId="0" fillId="0" borderId="0" xfId="0" applyNumberFormat="1" applyFill="1" applyAlignment="1">
      <alignment horizontal="center" vertical="center"/>
    </xf>
    <xf numFmtId="165" fontId="0" fillId="0" borderId="9" xfId="0" applyNumberFormat="1" applyFill="1" applyBorder="1" applyProtection="1">
      <protection hidden="1"/>
    </xf>
    <xf numFmtId="9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left" vertical="top"/>
    </xf>
    <xf numFmtId="0" fontId="0" fillId="0" borderId="10" xfId="0" applyFill="1" applyBorder="1"/>
    <xf numFmtId="165" fontId="0" fillId="0" borderId="3" xfId="0" applyNumberFormat="1" applyFill="1" applyBorder="1" applyProtection="1">
      <protection hidden="1"/>
    </xf>
    <xf numFmtId="0" fontId="0" fillId="0" borderId="7" xfId="0" applyFill="1" applyBorder="1"/>
    <xf numFmtId="0" fontId="0" fillId="0" borderId="2" xfId="0" applyFill="1" applyBorder="1"/>
    <xf numFmtId="1" fontId="0" fillId="0" borderId="0" xfId="0" applyNumberFormat="1" applyFont="1" applyFill="1" applyBorder="1" applyAlignment="1">
      <alignment horizontal="left"/>
    </xf>
    <xf numFmtId="165" fontId="0" fillId="8" borderId="5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65" fontId="0" fillId="6" borderId="3" xfId="0" applyNumberFormat="1" applyFill="1" applyBorder="1" applyProtection="1">
      <protection hidden="1"/>
    </xf>
    <xf numFmtId="165" fontId="0" fillId="6" borderId="5" xfId="0" applyNumberFormat="1" applyFill="1" applyBorder="1" applyProtection="1">
      <protection hidden="1"/>
    </xf>
    <xf numFmtId="165" fontId="0" fillId="5" borderId="3" xfId="0" applyNumberFormat="1" applyFill="1" applyBorder="1" applyProtection="1">
      <protection hidden="1"/>
    </xf>
    <xf numFmtId="165" fontId="0" fillId="5" borderId="5" xfId="0" applyNumberFormat="1" applyFill="1" applyBorder="1" applyProtection="1">
      <protection hidden="1"/>
    </xf>
    <xf numFmtId="165" fontId="0" fillId="12" borderId="3" xfId="0" applyNumberFormat="1" applyFill="1" applyBorder="1" applyProtection="1">
      <protection hidden="1"/>
    </xf>
    <xf numFmtId="165" fontId="0" fillId="12" borderId="5" xfId="0" applyNumberFormat="1" applyFill="1" applyBorder="1" applyProtection="1">
      <protection hidden="1"/>
    </xf>
    <xf numFmtId="165" fontId="0" fillId="11" borderId="5" xfId="0" applyNumberFormat="1" applyFill="1" applyBorder="1" applyProtection="1">
      <protection hidden="1"/>
    </xf>
    <xf numFmtId="165" fontId="0" fillId="11" borderId="8" xfId="0" applyNumberFormat="1" applyFill="1" applyBorder="1" applyProtection="1">
      <protection hidden="1"/>
    </xf>
    <xf numFmtId="165" fontId="0" fillId="10" borderId="5" xfId="0" applyNumberFormat="1" applyFill="1" applyBorder="1" applyProtection="1">
      <protection hidden="1"/>
    </xf>
    <xf numFmtId="1" fontId="0" fillId="5" borderId="4" xfId="0" applyNumberFormat="1" applyFill="1" applyBorder="1" applyAlignment="1">
      <alignment horizontal="left"/>
    </xf>
    <xf numFmtId="1" fontId="0" fillId="6" borderId="4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" fontId="0" fillId="13" borderId="10" xfId="0" applyNumberFormat="1" applyFont="1" applyFill="1" applyBorder="1" applyAlignment="1">
      <alignment horizontal="left"/>
    </xf>
    <xf numFmtId="49" fontId="0" fillId="13" borderId="10" xfId="0" applyNumberFormat="1" applyFont="1" applyFill="1" applyBorder="1" applyAlignment="1">
      <alignment horizontal="left"/>
    </xf>
    <xf numFmtId="164" fontId="0" fillId="13" borderId="10" xfId="0" applyNumberFormat="1" applyFill="1" applyBorder="1" applyAlignment="1">
      <alignment horizontal="left" vertical="top"/>
    </xf>
    <xf numFmtId="9" fontId="0" fillId="13" borderId="10" xfId="0" applyNumberFormat="1" applyFill="1" applyBorder="1" applyAlignment="1">
      <alignment horizontal="center" vertical="center"/>
    </xf>
    <xf numFmtId="0" fontId="0" fillId="13" borderId="10" xfId="0" applyFill="1" applyBorder="1"/>
    <xf numFmtId="9" fontId="0" fillId="7" borderId="7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65" fontId="0" fillId="0" borderId="8" xfId="0" applyNumberFormat="1" applyFill="1" applyBorder="1" applyProtection="1">
      <protection hidden="1"/>
    </xf>
    <xf numFmtId="165" fontId="0" fillId="4" borderId="5" xfId="0" applyNumberFormat="1" applyFill="1" applyBorder="1" applyProtection="1">
      <protection hidden="1"/>
    </xf>
    <xf numFmtId="165" fontId="0" fillId="8" borderId="3" xfId="0" applyNumberFormat="1" applyFill="1" applyBorder="1" applyProtection="1">
      <protection hidden="1"/>
    </xf>
    <xf numFmtId="165" fontId="0" fillId="13" borderId="8" xfId="0" applyNumberFormat="1" applyFill="1" applyBorder="1" applyProtection="1">
      <protection hidden="1"/>
    </xf>
    <xf numFmtId="165" fontId="0" fillId="7" borderId="3" xfId="0" applyNumberFormat="1" applyFill="1" applyBorder="1" applyProtection="1">
      <protection hidden="1"/>
    </xf>
    <xf numFmtId="164" fontId="0" fillId="6" borderId="7" xfId="0" applyNumberFormat="1" applyFill="1" applyBorder="1" applyAlignment="1">
      <alignment horizontal="left" vertical="top"/>
    </xf>
    <xf numFmtId="0" fontId="0" fillId="6" borderId="7" xfId="0" applyFill="1" applyBorder="1"/>
    <xf numFmtId="165" fontId="0" fillId="5" borderId="8" xfId="0" applyNumberFormat="1" applyFill="1" applyBorder="1" applyProtection="1">
      <protection hidden="1"/>
    </xf>
    <xf numFmtId="0" fontId="0" fillId="5" borderId="7" xfId="0" applyFill="1" applyBorder="1"/>
    <xf numFmtId="165" fontId="0" fillId="10" borderId="8" xfId="0" applyNumberFormat="1" applyFill="1" applyBorder="1" applyProtection="1">
      <protection hidden="1"/>
    </xf>
    <xf numFmtId="165" fontId="0" fillId="11" borderId="3" xfId="0" applyNumberFormat="1" applyFill="1" applyBorder="1" applyProtection="1">
      <protection hidden="1"/>
    </xf>
    <xf numFmtId="165" fontId="0" fillId="10" borderId="3" xfId="0" applyNumberFormat="1" applyFill="1" applyBorder="1" applyProtection="1">
      <protection hidden="1"/>
    </xf>
    <xf numFmtId="0" fontId="0" fillId="0" borderId="7" xfId="0" applyBorder="1"/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" fontId="0" fillId="5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/>
    <xf numFmtId="0" fontId="0" fillId="5" borderId="6" xfId="0" applyFill="1" applyBorder="1"/>
    <xf numFmtId="16" fontId="0" fillId="5" borderId="7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left" vertical="top"/>
    </xf>
    <xf numFmtId="9" fontId="0" fillId="5" borderId="7" xfId="0" applyNumberFormat="1" applyFill="1" applyBorder="1" applyAlignment="1">
      <alignment horizontal="center" vertical="center"/>
    </xf>
    <xf numFmtId="165" fontId="0" fillId="4" borderId="9" xfId="0" applyNumberFormat="1" applyFill="1" applyBorder="1" applyProtection="1">
      <protection hidden="1"/>
    </xf>
    <xf numFmtId="44" fontId="0" fillId="0" borderId="0" xfId="1" applyFont="1" applyAlignment="1">
      <alignment horizontal="center" vertical="center" wrapText="1"/>
    </xf>
    <xf numFmtId="44" fontId="1" fillId="0" borderId="8" xfId="1" applyFont="1" applyBorder="1" applyAlignment="1">
      <alignment horizontal="left" vertical="top" wrapText="1"/>
    </xf>
    <xf numFmtId="44" fontId="1" fillId="0" borderId="0" xfId="1" applyFont="1" applyAlignment="1">
      <alignment horizontal="left" vertical="top" wrapText="1"/>
    </xf>
    <xf numFmtId="44" fontId="1" fillId="0" borderId="6" xfId="1" applyFont="1" applyBorder="1" applyAlignment="1">
      <alignment horizontal="left" vertical="top" wrapText="1"/>
    </xf>
    <xf numFmtId="44" fontId="1" fillId="0" borderId="11" xfId="1" applyFont="1" applyBorder="1" applyAlignment="1">
      <alignment horizontal="left" vertical="top" wrapText="1"/>
    </xf>
    <xf numFmtId="44" fontId="1" fillId="0" borderId="0" xfId="1" applyFont="1" applyFill="1" applyBorder="1" applyAlignment="1">
      <alignment horizontal="left" vertical="top" wrapText="1"/>
    </xf>
    <xf numFmtId="44" fontId="1" fillId="0" borderId="6" xfId="1" applyFont="1" applyFill="1" applyBorder="1" applyAlignment="1" applyProtection="1">
      <alignment horizontal="left" vertical="top" wrapText="1"/>
      <protection hidden="1"/>
    </xf>
    <xf numFmtId="49" fontId="0" fillId="0" borderId="2" xfId="0" applyNumberFormat="1" applyFont="1" applyFill="1" applyBorder="1" applyAlignment="1">
      <alignment horizontal="left"/>
    </xf>
    <xf numFmtId="0" fontId="0" fillId="0" borderId="2" xfId="0" applyBorder="1"/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/>
    <xf numFmtId="165" fontId="0" fillId="0" borderId="10" xfId="0" applyNumberFormat="1" applyFill="1" applyBorder="1" applyProtection="1">
      <protection hidden="1"/>
    </xf>
    <xf numFmtId="0" fontId="0" fillId="14" borderId="2" xfId="0" applyFill="1" applyBorder="1" applyAlignment="1">
      <alignment horizontal="center" vertical="center"/>
    </xf>
    <xf numFmtId="164" fontId="0" fillId="14" borderId="0" xfId="0" applyNumberFormat="1" applyFill="1" applyBorder="1" applyAlignment="1">
      <alignment horizontal="left" vertical="top"/>
    </xf>
    <xf numFmtId="9" fontId="0" fillId="14" borderId="0" xfId="0" applyNumberFormat="1" applyFill="1" applyBorder="1" applyAlignment="1">
      <alignment horizontal="center" vertical="center"/>
    </xf>
    <xf numFmtId="0" fontId="0" fillId="14" borderId="0" xfId="0" applyFill="1" applyBorder="1"/>
    <xf numFmtId="165" fontId="0" fillId="14" borderId="2" xfId="0" applyNumberFormat="1" applyFill="1" applyBorder="1" applyProtection="1">
      <protection hidden="1"/>
    </xf>
    <xf numFmtId="1" fontId="0" fillId="14" borderId="0" xfId="0" applyNumberFormat="1" applyFill="1" applyBorder="1" applyAlignment="1">
      <alignment horizontal="left"/>
    </xf>
    <xf numFmtId="0" fontId="0" fillId="14" borderId="0" xfId="0" applyFill="1" applyBorder="1" applyAlignment="1">
      <alignment horizontal="center" vertical="center"/>
    </xf>
    <xf numFmtId="165" fontId="0" fillId="14" borderId="5" xfId="0" applyNumberFormat="1" applyFill="1" applyBorder="1" applyProtection="1">
      <protection hidden="1"/>
    </xf>
    <xf numFmtId="0" fontId="0" fillId="14" borderId="7" xfId="0" applyFill="1" applyBorder="1"/>
    <xf numFmtId="0" fontId="0" fillId="14" borderId="7" xfId="0" applyFill="1" applyBorder="1" applyAlignment="1">
      <alignment horizontal="center" vertical="center"/>
    </xf>
    <xf numFmtId="164" fontId="0" fillId="14" borderId="7" xfId="0" applyNumberFormat="1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66" fontId="0" fillId="0" borderId="0" xfId="0" applyNumberFormat="1" applyBorder="1"/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left" vertical="top"/>
    </xf>
    <xf numFmtId="9" fontId="0" fillId="0" borderId="7" xfId="0" applyNumberFormat="1" applyBorder="1" applyAlignment="1">
      <alignment horizontal="center" vertical="center"/>
    </xf>
    <xf numFmtId="0" fontId="0" fillId="0" borderId="4" xfId="0" applyBorder="1"/>
    <xf numFmtId="0" fontId="2" fillId="3" borderId="0" xfId="0" applyFont="1" applyFill="1" applyBorder="1"/>
    <xf numFmtId="0" fontId="0" fillId="3" borderId="2" xfId="0" applyFill="1" applyBorder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left" vertical="top"/>
    </xf>
    <xf numFmtId="9" fontId="0" fillId="3" borderId="0" xfId="0" applyNumberFormat="1" applyFill="1" applyBorder="1" applyAlignment="1">
      <alignment horizontal="center" vertical="center"/>
    </xf>
    <xf numFmtId="0" fontId="0" fillId="3" borderId="0" xfId="0" applyFill="1" applyBorder="1"/>
    <xf numFmtId="165" fontId="0" fillId="3" borderId="0" xfId="0" applyNumberFormat="1" applyFill="1" applyBorder="1" applyProtection="1">
      <protection hidden="1"/>
    </xf>
    <xf numFmtId="1" fontId="0" fillId="3" borderId="4" xfId="0" applyNumberFormat="1" applyFill="1" applyBorder="1" applyAlignment="1">
      <alignment horizontal="left"/>
    </xf>
    <xf numFmtId="165" fontId="0" fillId="3" borderId="5" xfId="0" applyNumberFormat="1" applyFill="1" applyBorder="1" applyProtection="1">
      <protection hidden="1"/>
    </xf>
    <xf numFmtId="1" fontId="0" fillId="3" borderId="6" xfId="0" applyNumberFormat="1" applyFill="1" applyBorder="1" applyAlignment="1">
      <alignment horizontal="left"/>
    </xf>
    <xf numFmtId="0" fontId="0" fillId="3" borderId="7" xfId="0" applyFill="1" applyBorder="1"/>
    <xf numFmtId="0" fontId="0" fillId="3" borderId="7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left" vertical="top"/>
    </xf>
    <xf numFmtId="9" fontId="0" fillId="3" borderId="7" xfId="0" applyNumberFormat="1" applyFill="1" applyBorder="1" applyAlignment="1">
      <alignment horizontal="center" vertical="center"/>
    </xf>
    <xf numFmtId="165" fontId="0" fillId="3" borderId="8" xfId="0" applyNumberForma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0" fillId="0" borderId="0" xfId="0"/>
    <xf numFmtId="0" fontId="2" fillId="15" borderId="1" xfId="0" applyFont="1" applyFill="1" applyBorder="1"/>
    <xf numFmtId="0" fontId="0" fillId="15" borderId="2" xfId="0" applyFill="1" applyBorder="1"/>
    <xf numFmtId="0" fontId="0" fillId="15" borderId="2" xfId="0" applyFill="1" applyBorder="1" applyAlignment="1">
      <alignment horizontal="center" vertical="center"/>
    </xf>
    <xf numFmtId="164" fontId="0" fillId="15" borderId="2" xfId="0" applyNumberFormat="1" applyFill="1" applyBorder="1" applyAlignment="1">
      <alignment horizontal="left" vertical="top"/>
    </xf>
    <xf numFmtId="9" fontId="0" fillId="15" borderId="2" xfId="0" applyNumberFormat="1" applyFill="1" applyBorder="1" applyAlignment="1">
      <alignment horizontal="center" vertical="center"/>
    </xf>
    <xf numFmtId="165" fontId="0" fillId="15" borderId="3" xfId="0" applyNumberFormat="1" applyFill="1" applyBorder="1" applyProtection="1">
      <protection hidden="1"/>
    </xf>
    <xf numFmtId="1" fontId="0" fillId="15" borderId="4" xfId="0" applyNumberFormat="1" applyFill="1" applyBorder="1" applyAlignment="1">
      <alignment horizontal="left"/>
    </xf>
    <xf numFmtId="0" fontId="0" fillId="15" borderId="0" xfId="0" applyFill="1" applyBorder="1"/>
    <xf numFmtId="0" fontId="0" fillId="15" borderId="0" xfId="0" applyFill="1" applyBorder="1" applyAlignment="1">
      <alignment horizontal="center" vertical="center"/>
    </xf>
    <xf numFmtId="164" fontId="0" fillId="15" borderId="0" xfId="0" applyNumberFormat="1" applyFill="1" applyBorder="1" applyAlignment="1">
      <alignment horizontal="left" vertical="top"/>
    </xf>
    <xf numFmtId="9" fontId="0" fillId="15" borderId="0" xfId="0" applyNumberFormat="1" applyFill="1" applyBorder="1" applyAlignment="1">
      <alignment horizontal="center" vertical="center"/>
    </xf>
    <xf numFmtId="165" fontId="0" fillId="15" borderId="5" xfId="0" applyNumberFormat="1" applyFill="1" applyBorder="1" applyProtection="1">
      <protection hidden="1"/>
    </xf>
    <xf numFmtId="1" fontId="0" fillId="15" borderId="6" xfId="0" applyNumberFormat="1" applyFill="1" applyBorder="1" applyAlignment="1">
      <alignment horizontal="left"/>
    </xf>
    <xf numFmtId="0" fontId="0" fillId="15" borderId="7" xfId="0" applyFill="1" applyBorder="1"/>
    <xf numFmtId="0" fontId="0" fillId="15" borderId="7" xfId="0" applyFill="1" applyBorder="1" applyAlignment="1">
      <alignment horizontal="center" vertical="center"/>
    </xf>
    <xf numFmtId="164" fontId="0" fillId="15" borderId="7" xfId="0" applyNumberFormat="1" applyFill="1" applyBorder="1" applyAlignment="1">
      <alignment horizontal="left" vertical="top"/>
    </xf>
    <xf numFmtId="9" fontId="0" fillId="15" borderId="7" xfId="0" applyNumberFormat="1" applyFill="1" applyBorder="1" applyAlignment="1">
      <alignment horizontal="center" vertical="center"/>
    </xf>
    <xf numFmtId="165" fontId="0" fillId="15" borderId="8" xfId="0" applyNumberFormat="1" applyFill="1" applyBorder="1" applyProtection="1">
      <protection hidden="1"/>
    </xf>
    <xf numFmtId="165" fontId="0" fillId="2" borderId="8" xfId="0" applyNumberFormat="1" applyFill="1" applyBorder="1" applyProtection="1">
      <protection hidden="1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/>
    <xf numFmtId="9" fontId="0" fillId="2" borderId="2" xfId="0" applyNumberFormat="1" applyFill="1" applyBorder="1"/>
    <xf numFmtId="1" fontId="2" fillId="14" borderId="2" xfId="0" applyNumberFormat="1" applyFont="1" applyFill="1" applyBorder="1" applyAlignment="1">
      <alignment horizontal="left"/>
    </xf>
    <xf numFmtId="44" fontId="0" fillId="0" borderId="4" xfId="1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left"/>
    </xf>
    <xf numFmtId="1" fontId="1" fillId="8" borderId="13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left"/>
    </xf>
    <xf numFmtId="0" fontId="1" fillId="9" borderId="13" xfId="0" applyFont="1" applyFill="1" applyBorder="1" applyAlignment="1">
      <alignment horizontal="left"/>
    </xf>
    <xf numFmtId="0" fontId="1" fillId="10" borderId="12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" fillId="11" borderId="12" xfId="0" applyFont="1" applyFill="1" applyBorder="1" applyAlignment="1">
      <alignment horizontal="left"/>
    </xf>
    <xf numFmtId="0" fontId="1" fillId="11" borderId="13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CECFF"/>
      <color rgb="FFFFCCFF"/>
      <color rgb="FF3399FF"/>
      <color rgb="FFFF99CC"/>
      <color rgb="FFFF66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99396</xdr:colOff>
      <xdr:row>0</xdr:row>
      <xdr:rowOff>140811</xdr:rowOff>
    </xdr:from>
    <xdr:to>
      <xdr:col>11</xdr:col>
      <xdr:colOff>610433</xdr:colOff>
      <xdr:row>1</xdr:row>
      <xdr:rowOff>99398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CC201C4-6926-408F-A2CA-F03E8817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309" y="140811"/>
          <a:ext cx="2592457" cy="538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25"/>
  <sheetViews>
    <sheetView tabSelected="1" zoomScale="115" zoomScaleNormal="115" workbookViewId="0">
      <pane ySplit="1" topLeftCell="A297" activePane="bottomLeft" state="frozen"/>
      <selection pane="bottomLeft" activeCell="H325" sqref="H325"/>
    </sheetView>
  </sheetViews>
  <sheetFormatPr defaultRowHeight="14.25" x14ac:dyDescent="0.2"/>
  <cols>
    <col min="1" max="1" width="16.375" bestFit="1" customWidth="1"/>
    <col min="2" max="2" width="30.375" customWidth="1"/>
    <col min="3" max="3" width="7" style="176" customWidth="1"/>
    <col min="4" max="4" width="14.625" style="176" customWidth="1"/>
    <col min="5" max="5" width="9.625" style="58" customWidth="1"/>
    <col min="6" max="6" width="9.125" style="82" customWidth="1"/>
    <col min="7" max="7" width="9.875" customWidth="1"/>
    <col min="8" max="8" width="11.25" style="93" bestFit="1" customWidth="1"/>
  </cols>
  <sheetData>
    <row r="1" spans="1:12" s="184" customFormat="1" ht="60.75" thickBot="1" x14ac:dyDescent="0.25">
      <c r="A1" s="185" t="s">
        <v>125</v>
      </c>
      <c r="B1" s="186" t="s">
        <v>3</v>
      </c>
      <c r="C1" s="187" t="s">
        <v>2</v>
      </c>
      <c r="D1" s="187" t="s">
        <v>181</v>
      </c>
      <c r="E1" s="188" t="s">
        <v>121</v>
      </c>
      <c r="F1" s="187" t="s">
        <v>122</v>
      </c>
      <c r="G1" s="189" t="s">
        <v>183</v>
      </c>
      <c r="H1" s="190" t="s">
        <v>182</v>
      </c>
      <c r="I1" s="257"/>
      <c r="J1" s="258"/>
      <c r="K1" s="258"/>
      <c r="L1" s="258"/>
    </row>
    <row r="2" spans="1:12" ht="15" x14ac:dyDescent="0.25">
      <c r="A2" s="267" t="s">
        <v>111</v>
      </c>
      <c r="B2" s="268"/>
      <c r="C2" s="1"/>
      <c r="D2" s="1"/>
      <c r="E2" s="45"/>
      <c r="F2" s="69"/>
      <c r="G2" s="1"/>
      <c r="H2" s="92"/>
    </row>
    <row r="3" spans="1:12" x14ac:dyDescent="0.2">
      <c r="A3" s="2" t="str">
        <f>"9780230035782"</f>
        <v>9780230035782</v>
      </c>
      <c r="B3" s="3" t="str">
        <f>"MR Starter Alissa"</f>
        <v>MR Starter Alissa</v>
      </c>
      <c r="C3" s="147">
        <v>1</v>
      </c>
      <c r="D3" s="147" t="s">
        <v>129</v>
      </c>
      <c r="E3" s="46">
        <v>40.6</v>
      </c>
      <c r="F3" s="70">
        <v>0.1</v>
      </c>
      <c r="G3" s="3"/>
      <c r="H3" s="94">
        <f>IF(G3&gt;0,(E3*G3)-(F3*E3),0)</f>
        <v>0</v>
      </c>
    </row>
    <row r="4" spans="1:12" x14ac:dyDescent="0.2">
      <c r="A4" s="2" t="str">
        <f>"9780230026742"</f>
        <v>9780230026742</v>
      </c>
      <c r="B4" s="3" t="str">
        <f>"MR Starter Around the world in 80 days"</f>
        <v>MR Starter Around the world in 80 days</v>
      </c>
      <c r="C4" s="147">
        <v>1</v>
      </c>
      <c r="D4" s="147" t="s">
        <v>129</v>
      </c>
      <c r="E4" s="46">
        <v>40.6</v>
      </c>
      <c r="F4" s="70">
        <v>0.1</v>
      </c>
      <c r="G4" s="3"/>
      <c r="H4" s="94">
        <f t="shared" ref="H4:H17" si="0">IF(G4&gt;0,(E4*G4)-(F4*E4),0)</f>
        <v>0</v>
      </c>
    </row>
    <row r="5" spans="1:12" x14ac:dyDescent="0.2">
      <c r="A5" s="2" t="str">
        <f>"9780230035799"</f>
        <v>9780230035799</v>
      </c>
      <c r="B5" s="3" t="str">
        <f>"MR Starter Blue Finns"</f>
        <v>MR Starter Blue Finns</v>
      </c>
      <c r="C5" s="147">
        <v>1</v>
      </c>
      <c r="D5" s="147" t="s">
        <v>129</v>
      </c>
      <c r="E5" s="46">
        <v>40.6</v>
      </c>
      <c r="F5" s="70">
        <v>0.1</v>
      </c>
      <c r="G5" s="3"/>
      <c r="H5" s="94">
        <f t="shared" si="0"/>
        <v>0</v>
      </c>
    </row>
    <row r="6" spans="1:12" x14ac:dyDescent="0.2">
      <c r="A6" s="2" t="str">
        <f>"9780230026766"</f>
        <v>9780230026766</v>
      </c>
      <c r="B6" s="3" t="str">
        <f>"MR Starter Gullivers Travels in Lilliput"</f>
        <v>MR Starter Gullivers Travels in Lilliput</v>
      </c>
      <c r="C6" s="147">
        <v>1</v>
      </c>
      <c r="D6" s="147" t="s">
        <v>129</v>
      </c>
      <c r="E6" s="46">
        <v>40.6</v>
      </c>
      <c r="F6" s="70">
        <v>0.1</v>
      </c>
      <c r="G6" s="3"/>
      <c r="H6" s="94">
        <f t="shared" si="0"/>
        <v>0</v>
      </c>
    </row>
    <row r="7" spans="1:12" x14ac:dyDescent="0.2">
      <c r="A7" s="2" t="str">
        <f>"9780230035805"</f>
        <v>9780230035805</v>
      </c>
      <c r="B7" s="3" t="str">
        <f>"MR Starter In the Frame"</f>
        <v>MR Starter In the Frame</v>
      </c>
      <c r="C7" s="147">
        <v>1</v>
      </c>
      <c r="D7" s="147" t="s">
        <v>129</v>
      </c>
      <c r="E7" s="46">
        <v>40.6</v>
      </c>
      <c r="F7" s="70">
        <v>0.1</v>
      </c>
      <c r="G7" s="3"/>
      <c r="H7" s="94">
        <f t="shared" si="0"/>
        <v>0</v>
      </c>
    </row>
    <row r="8" spans="1:12" x14ac:dyDescent="0.2">
      <c r="A8" s="2" t="str">
        <f>"9780230035812"</f>
        <v>9780230035812</v>
      </c>
      <c r="B8" s="3" t="str">
        <f>"MR Starter L A Detective"</f>
        <v>MR Starter L A Detective</v>
      </c>
      <c r="C8" s="147">
        <v>1</v>
      </c>
      <c r="D8" s="147" t="s">
        <v>129</v>
      </c>
      <c r="E8" s="46">
        <v>40.6</v>
      </c>
      <c r="F8" s="70">
        <v>0.1</v>
      </c>
      <c r="G8" s="3"/>
      <c r="H8" s="94">
        <f t="shared" si="0"/>
        <v>0</v>
      </c>
    </row>
    <row r="9" spans="1:12" x14ac:dyDescent="0.2">
      <c r="A9" s="2" t="str">
        <f>"9780230035829"</f>
        <v>9780230035829</v>
      </c>
      <c r="B9" s="3" t="str">
        <f>"MR Starter Lost Ship"</f>
        <v>MR Starter Lost Ship</v>
      </c>
      <c r="C9" s="147">
        <v>1</v>
      </c>
      <c r="D9" s="147" t="s">
        <v>129</v>
      </c>
      <c r="E9" s="46">
        <v>40.6</v>
      </c>
      <c r="F9" s="70">
        <v>0.1</v>
      </c>
      <c r="G9" s="3"/>
      <c r="H9" s="94">
        <f t="shared" si="0"/>
        <v>0</v>
      </c>
    </row>
    <row r="10" spans="1:12" x14ac:dyDescent="0.2">
      <c r="A10" s="2" t="str">
        <f>"9780230035836"</f>
        <v>9780230035836</v>
      </c>
      <c r="B10" s="3" t="str">
        <f>"MR Starter Lucky Number"</f>
        <v>MR Starter Lucky Number</v>
      </c>
      <c r="C10" s="147">
        <v>1</v>
      </c>
      <c r="D10" s="147" t="s">
        <v>129</v>
      </c>
      <c r="E10" s="46">
        <v>40.6</v>
      </c>
      <c r="F10" s="70">
        <v>0.1</v>
      </c>
      <c r="G10" s="3"/>
      <c r="H10" s="94">
        <f t="shared" si="0"/>
        <v>0</v>
      </c>
    </row>
    <row r="11" spans="1:12" x14ac:dyDescent="0.2">
      <c r="A11" s="2" t="str">
        <f>"9780230035843"</f>
        <v>9780230035843</v>
      </c>
      <c r="B11" s="3" t="str">
        <f>"MR Starter Magic Barber"</f>
        <v>MR Starter Magic Barber</v>
      </c>
      <c r="C11" s="147">
        <v>1</v>
      </c>
      <c r="D11" s="147" t="s">
        <v>129</v>
      </c>
      <c r="E11" s="46">
        <v>40.6</v>
      </c>
      <c r="F11" s="70">
        <v>0.1</v>
      </c>
      <c r="G11" s="3"/>
      <c r="H11" s="94">
        <f t="shared" si="0"/>
        <v>0</v>
      </c>
    </row>
    <row r="12" spans="1:12" x14ac:dyDescent="0.2">
      <c r="A12" s="2" t="str">
        <f>"9780230035850"</f>
        <v>9780230035850</v>
      </c>
      <c r="B12" s="3" t="str">
        <f>"MR Starter Photo Finish"</f>
        <v>MR Starter Photo Finish</v>
      </c>
      <c r="C12" s="147">
        <v>1</v>
      </c>
      <c r="D12" s="147" t="s">
        <v>129</v>
      </c>
      <c r="E12" s="46">
        <v>40.6</v>
      </c>
      <c r="F12" s="70">
        <v>0.1</v>
      </c>
      <c r="G12" s="3"/>
      <c r="H12" s="94">
        <f t="shared" si="0"/>
        <v>0</v>
      </c>
    </row>
    <row r="13" spans="1:12" x14ac:dyDescent="0.2">
      <c r="A13" s="2" t="str">
        <f>"9780230035867"</f>
        <v>9780230035867</v>
      </c>
      <c r="B13" s="3" t="str">
        <f>"MR Starter Sara Says No"</f>
        <v>MR Starter Sara Says No</v>
      </c>
      <c r="C13" s="147">
        <v>1</v>
      </c>
      <c r="D13" s="147" t="s">
        <v>129</v>
      </c>
      <c r="E13" s="46">
        <v>40.6</v>
      </c>
      <c r="F13" s="70">
        <v>0.1</v>
      </c>
      <c r="G13" s="3"/>
      <c r="H13" s="94">
        <f t="shared" si="0"/>
        <v>0</v>
      </c>
    </row>
    <row r="14" spans="1:12" x14ac:dyDescent="0.2">
      <c r="A14" s="2" t="str">
        <f>"9780230035874"</f>
        <v>9780230035874</v>
      </c>
      <c r="B14" s="3" t="str">
        <f>"MR Starter Shooting Stars"</f>
        <v>MR Starter Shooting Stars</v>
      </c>
      <c r="C14" s="147">
        <v>1</v>
      </c>
      <c r="D14" s="147" t="s">
        <v>129</v>
      </c>
      <c r="E14" s="46">
        <v>40.6</v>
      </c>
      <c r="F14" s="70">
        <v>0.1</v>
      </c>
      <c r="G14" s="3"/>
      <c r="H14" s="94">
        <f t="shared" si="0"/>
        <v>0</v>
      </c>
    </row>
    <row r="15" spans="1:12" x14ac:dyDescent="0.2">
      <c r="A15" s="2" t="str">
        <f>"9780230035881"</f>
        <v>9780230035881</v>
      </c>
      <c r="B15" s="3" t="str">
        <f>"MR Starter Ski Race"</f>
        <v>MR Starter Ski Race</v>
      </c>
      <c r="C15" s="147">
        <v>1</v>
      </c>
      <c r="D15" s="147" t="s">
        <v>129</v>
      </c>
      <c r="E15" s="46">
        <v>40.6</v>
      </c>
      <c r="F15" s="70">
        <v>0.1</v>
      </c>
      <c r="G15" s="3"/>
      <c r="H15" s="94">
        <f t="shared" si="0"/>
        <v>0</v>
      </c>
    </row>
    <row r="16" spans="1:12" x14ac:dyDescent="0.2">
      <c r="A16" s="2" t="str">
        <f>"9780230035904"</f>
        <v>9780230035904</v>
      </c>
      <c r="B16" s="3" t="str">
        <f>"MR Starter The Well"</f>
        <v>MR Starter The Well</v>
      </c>
      <c r="C16" s="147">
        <v>1</v>
      </c>
      <c r="D16" s="147" t="s">
        <v>129</v>
      </c>
      <c r="E16" s="46">
        <v>40.6</v>
      </c>
      <c r="F16" s="70">
        <v>0.1</v>
      </c>
      <c r="G16" s="3"/>
      <c r="H16" s="94">
        <f t="shared" si="0"/>
        <v>0</v>
      </c>
    </row>
    <row r="17" spans="1:8" ht="15" thickBot="1" x14ac:dyDescent="0.25">
      <c r="A17" s="4" t="str">
        <f>"9780230035898"</f>
        <v>9780230035898</v>
      </c>
      <c r="B17" s="5" t="str">
        <f>"MR Starter Umbrella"</f>
        <v>MR Starter Umbrella</v>
      </c>
      <c r="C17" s="148">
        <v>1</v>
      </c>
      <c r="D17" s="148" t="s">
        <v>129</v>
      </c>
      <c r="E17" s="47">
        <v>40.6</v>
      </c>
      <c r="F17" s="71">
        <v>0.1</v>
      </c>
      <c r="G17" s="5"/>
      <c r="H17" s="252">
        <f t="shared" si="0"/>
        <v>0</v>
      </c>
    </row>
    <row r="18" spans="1:8" s="99" customFormat="1" ht="15" thickBot="1" x14ac:dyDescent="0.25">
      <c r="A18" s="95"/>
      <c r="B18" s="95"/>
      <c r="C18" s="149"/>
      <c r="D18" s="149"/>
      <c r="E18" s="96"/>
      <c r="F18" s="97"/>
      <c r="G18" s="95"/>
      <c r="H18" s="134"/>
    </row>
    <row r="19" spans="1:8" ht="15" x14ac:dyDescent="0.25">
      <c r="A19" s="271" t="s">
        <v>112</v>
      </c>
      <c r="B19" s="272"/>
      <c r="C19" s="150"/>
      <c r="D19" s="150"/>
      <c r="E19" s="48"/>
      <c r="F19" s="72"/>
      <c r="G19" s="25"/>
      <c r="H19" s="101"/>
    </row>
    <row r="20" spans="1:8" x14ac:dyDescent="0.2">
      <c r="A20" s="26" t="str">
        <f>"9781405072342"</f>
        <v>9781405072342</v>
      </c>
      <c r="B20" s="27" t="str">
        <f>"MR BEG Adv. of Huckleberry Finn"</f>
        <v>MR BEG Adv. of Huckleberry Finn</v>
      </c>
      <c r="C20" s="151">
        <v>2</v>
      </c>
      <c r="D20" s="151">
        <v>7</v>
      </c>
      <c r="E20" s="49">
        <v>48</v>
      </c>
      <c r="F20" s="73">
        <v>0.1</v>
      </c>
      <c r="G20" s="27"/>
      <c r="H20" s="100">
        <f>IF(G20&gt;0,(E20*G20)-(F20*E20),0)</f>
        <v>0</v>
      </c>
    </row>
    <row r="21" spans="1:8" x14ac:dyDescent="0.2">
      <c r="A21" s="26" t="str">
        <f>"9780230035027"</f>
        <v>9780230035027</v>
      </c>
      <c r="B21" s="27" t="str">
        <f>"MR BEG Anna and the Fighter"</f>
        <v>MR BEG Anna and the Fighter</v>
      </c>
      <c r="C21" s="151">
        <v>2</v>
      </c>
      <c r="D21" s="151">
        <v>7</v>
      </c>
      <c r="E21" s="49">
        <v>48</v>
      </c>
      <c r="F21" s="73">
        <v>0.1</v>
      </c>
      <c r="G21" s="27"/>
      <c r="H21" s="100">
        <f t="shared" ref="H21:H47" si="1">IF(G21&gt;0,(E21*G21)-(F21*E21),0)</f>
        <v>0</v>
      </c>
    </row>
    <row r="22" spans="1:8" x14ac:dyDescent="0.2">
      <c r="A22" s="26" t="str">
        <f>"9781405072274"</f>
        <v>9781405072274</v>
      </c>
      <c r="B22" s="27" t="str">
        <f>"MR BEG Billy Budd"</f>
        <v>MR BEG Billy Budd</v>
      </c>
      <c r="C22" s="151">
        <v>2</v>
      </c>
      <c r="D22" s="151">
        <v>7</v>
      </c>
      <c r="E22" s="49">
        <v>48</v>
      </c>
      <c r="F22" s="73">
        <v>0.1</v>
      </c>
      <c r="G22" s="27"/>
      <c r="H22" s="100">
        <f t="shared" si="1"/>
        <v>0</v>
      </c>
    </row>
    <row r="23" spans="1:8" x14ac:dyDescent="0.2">
      <c r="A23" s="26" t="str">
        <f>"9780230035034"</f>
        <v>9780230035034</v>
      </c>
      <c r="B23" s="27" t="str">
        <f>"MR BEG Dangerous Journey"</f>
        <v>MR BEG Dangerous Journey</v>
      </c>
      <c r="C23" s="151">
        <v>2</v>
      </c>
      <c r="D23" s="151">
        <v>7</v>
      </c>
      <c r="E23" s="49">
        <v>48</v>
      </c>
      <c r="F23" s="73">
        <v>0.1</v>
      </c>
      <c r="G23" s="27"/>
      <c r="H23" s="100">
        <f t="shared" si="1"/>
        <v>0</v>
      </c>
    </row>
    <row r="24" spans="1:8" x14ac:dyDescent="0.2">
      <c r="A24" s="26" t="str">
        <f>"9781405072304"</f>
        <v>9781405072304</v>
      </c>
      <c r="B24" s="27" t="str">
        <f>"MR BEG Good Wives"</f>
        <v>MR BEG Good Wives</v>
      </c>
      <c r="C24" s="151">
        <v>2</v>
      </c>
      <c r="D24" s="151">
        <v>7</v>
      </c>
      <c r="E24" s="49">
        <v>48</v>
      </c>
      <c r="F24" s="73">
        <v>0.1</v>
      </c>
      <c r="G24" s="27"/>
      <c r="H24" s="100">
        <f t="shared" si="1"/>
        <v>0</v>
      </c>
    </row>
    <row r="25" spans="1:8" x14ac:dyDescent="0.2">
      <c r="A25" s="26" t="str">
        <f>"9781405072311"</f>
        <v>9781405072311</v>
      </c>
      <c r="B25" s="27" t="str">
        <f>"MR BEG Hawk-eye The Pathfinder"</f>
        <v>MR BEG Hawk-eye The Pathfinder</v>
      </c>
      <c r="C25" s="151">
        <v>2</v>
      </c>
      <c r="D25" s="151">
        <v>7</v>
      </c>
      <c r="E25" s="49">
        <v>48</v>
      </c>
      <c r="F25" s="73">
        <v>0.1</v>
      </c>
      <c r="G25" s="27"/>
      <c r="H25" s="100">
        <f t="shared" si="1"/>
        <v>0</v>
      </c>
    </row>
    <row r="26" spans="1:8" x14ac:dyDescent="0.2">
      <c r="A26" s="26" t="str">
        <f>"9781405072328"</f>
        <v>9781405072328</v>
      </c>
      <c r="B26" s="27" t="str">
        <f>"MR BEG House In Pic &amp; AbbotTreas"</f>
        <v>MR BEG House In Pic &amp; AbbotTreas</v>
      </c>
      <c r="C26" s="151">
        <v>2</v>
      </c>
      <c r="D26" s="151">
        <v>7</v>
      </c>
      <c r="E26" s="49">
        <v>48</v>
      </c>
      <c r="F26" s="73">
        <v>0.1</v>
      </c>
      <c r="G26" s="27"/>
      <c r="H26" s="100">
        <f t="shared" si="1"/>
        <v>0</v>
      </c>
    </row>
    <row r="27" spans="1:8" x14ac:dyDescent="0.2">
      <c r="A27" s="26" t="str">
        <f>"9780230035041"</f>
        <v>9780230035041</v>
      </c>
      <c r="B27" s="27" t="str">
        <f>"MR BEG House on the Hill"</f>
        <v>MR BEG House on the Hill</v>
      </c>
      <c r="C27" s="151">
        <v>2</v>
      </c>
      <c r="D27" s="151">
        <v>7</v>
      </c>
      <c r="E27" s="49">
        <v>48</v>
      </c>
      <c r="F27" s="73">
        <v>0.1</v>
      </c>
      <c r="G27" s="27"/>
      <c r="H27" s="100">
        <f t="shared" si="1"/>
        <v>0</v>
      </c>
    </row>
    <row r="28" spans="1:8" x14ac:dyDescent="0.2">
      <c r="A28" s="26" t="str">
        <f>"9780230030381"</f>
        <v>9780230030381</v>
      </c>
      <c r="B28" s="27" t="str">
        <f>"MR BEG Jane Eyre"</f>
        <v>MR BEG Jane Eyre</v>
      </c>
      <c r="C28" s="151">
        <v>2</v>
      </c>
      <c r="D28" s="151">
        <v>7</v>
      </c>
      <c r="E28" s="49">
        <v>48</v>
      </c>
      <c r="F28" s="73">
        <v>0.1</v>
      </c>
      <c r="G28" s="27"/>
      <c r="H28" s="100">
        <f t="shared" si="1"/>
        <v>0</v>
      </c>
    </row>
    <row r="29" spans="1:8" x14ac:dyDescent="0.2">
      <c r="A29" s="26" t="str">
        <f>"9781405072366"</f>
        <v>9781405072366</v>
      </c>
      <c r="B29" s="27" t="str">
        <f>"MR BEG L.A Raid"</f>
        <v>MR BEG L.A Raid</v>
      </c>
      <c r="C29" s="151">
        <v>2</v>
      </c>
      <c r="D29" s="151">
        <v>7</v>
      </c>
      <c r="E29" s="49">
        <v>48</v>
      </c>
      <c r="F29" s="73">
        <v>0.1</v>
      </c>
      <c r="G29" s="27"/>
      <c r="H29" s="100">
        <f t="shared" si="1"/>
        <v>0</v>
      </c>
    </row>
    <row r="30" spans="1:8" x14ac:dyDescent="0.2">
      <c r="A30" s="26" t="str">
        <f>"9780230035003"</f>
        <v>9780230035003</v>
      </c>
      <c r="B30" s="27" t="str">
        <f>"MR BEG Little Women"</f>
        <v>MR BEG Little Women</v>
      </c>
      <c r="C30" s="151">
        <v>2</v>
      </c>
      <c r="D30" s="151">
        <v>7</v>
      </c>
      <c r="E30" s="49">
        <v>48</v>
      </c>
      <c r="F30" s="73">
        <v>0.1</v>
      </c>
      <c r="G30" s="27"/>
      <c r="H30" s="100">
        <f t="shared" si="1"/>
        <v>0</v>
      </c>
    </row>
    <row r="31" spans="1:8" x14ac:dyDescent="0.2">
      <c r="A31" s="26" t="str">
        <f>"9781405072410"</f>
        <v>9781405072410</v>
      </c>
      <c r="B31" s="27" t="str">
        <f>"MR BEG Lorna Doone"</f>
        <v>MR BEG Lorna Doone</v>
      </c>
      <c r="C31" s="151">
        <v>2</v>
      </c>
      <c r="D31" s="151">
        <v>7</v>
      </c>
      <c r="E31" s="49">
        <v>48</v>
      </c>
      <c r="F31" s="73">
        <v>0.1</v>
      </c>
      <c r="G31" s="27"/>
      <c r="H31" s="100">
        <f t="shared" si="1"/>
        <v>0</v>
      </c>
    </row>
    <row r="32" spans="1:8" x14ac:dyDescent="0.2">
      <c r="A32" s="26" t="str">
        <f>"9780230030367"</f>
        <v>9780230030367</v>
      </c>
      <c r="B32" s="27" t="str">
        <f>"MR BEG Man in the Iron Mask"</f>
        <v>MR BEG Man in the Iron Mask</v>
      </c>
      <c r="C32" s="151">
        <v>2</v>
      </c>
      <c r="D32" s="151">
        <v>7</v>
      </c>
      <c r="E32" s="49">
        <v>48</v>
      </c>
      <c r="F32" s="73">
        <v>0.1</v>
      </c>
      <c r="G32" s="27"/>
      <c r="H32" s="100">
        <f t="shared" si="1"/>
        <v>0</v>
      </c>
    </row>
    <row r="33" spans="1:8" x14ac:dyDescent="0.2">
      <c r="A33" s="26" t="str">
        <f>"9780230035010"</f>
        <v>9780230035010</v>
      </c>
      <c r="B33" s="27" t="str">
        <f>"MR BEG Marco"</f>
        <v>MR BEG Marco</v>
      </c>
      <c r="C33" s="151">
        <v>2</v>
      </c>
      <c r="D33" s="151">
        <v>7</v>
      </c>
      <c r="E33" s="49">
        <v>48</v>
      </c>
      <c r="F33" s="73">
        <v>0.1</v>
      </c>
      <c r="G33" s="27"/>
      <c r="H33" s="100">
        <f t="shared" si="1"/>
        <v>0</v>
      </c>
    </row>
    <row r="34" spans="1:8" x14ac:dyDescent="0.2">
      <c r="A34" s="26" t="str">
        <f>"9780230035058"</f>
        <v>9780230035058</v>
      </c>
      <c r="B34" s="27" t="str">
        <f>"MR BEG Mill on the Floss"</f>
        <v>MR BEG Mill on the Floss</v>
      </c>
      <c r="C34" s="151">
        <v>2</v>
      </c>
      <c r="D34" s="151">
        <v>7</v>
      </c>
      <c r="E34" s="49">
        <v>48</v>
      </c>
      <c r="F34" s="73">
        <v>0.1</v>
      </c>
      <c r="G34" s="27"/>
      <c r="H34" s="100">
        <f t="shared" si="1"/>
        <v>0</v>
      </c>
    </row>
    <row r="35" spans="1:8" x14ac:dyDescent="0.2">
      <c r="A35" s="26" t="str">
        <f>"9781405072458"</f>
        <v>9781405072458</v>
      </c>
      <c r="B35" s="27" t="str">
        <f>"MR BEG Newspaper Boy"</f>
        <v>MR BEG Newspaper Boy</v>
      </c>
      <c r="C35" s="151">
        <v>2</v>
      </c>
      <c r="D35" s="151">
        <v>7</v>
      </c>
      <c r="E35" s="49">
        <v>48</v>
      </c>
      <c r="F35" s="73">
        <v>0.1</v>
      </c>
      <c r="G35" s="27"/>
      <c r="H35" s="100">
        <f t="shared" si="1"/>
        <v>0</v>
      </c>
    </row>
    <row r="36" spans="1:8" x14ac:dyDescent="0.2">
      <c r="A36" s="26" t="str">
        <f>"9780230035072"</f>
        <v>9780230035072</v>
      </c>
      <c r="B36" s="27" t="str">
        <f>"MR BEG Northanger Abby"</f>
        <v>MR BEG Northanger Abby</v>
      </c>
      <c r="C36" s="151">
        <v>2</v>
      </c>
      <c r="D36" s="151">
        <v>7</v>
      </c>
      <c r="E36" s="49">
        <v>48</v>
      </c>
      <c r="F36" s="73">
        <v>0.1</v>
      </c>
      <c r="G36" s="27"/>
      <c r="H36" s="100">
        <f t="shared" si="1"/>
        <v>0</v>
      </c>
    </row>
    <row r="37" spans="1:8" x14ac:dyDescent="0.2">
      <c r="A37" s="26" t="str">
        <f>"9781405072489"</f>
        <v>9781405072489</v>
      </c>
      <c r="B37" s="27" t="str">
        <f>"MR BEG Picture Puzzle"</f>
        <v>MR BEG Picture Puzzle</v>
      </c>
      <c r="C37" s="151">
        <v>2</v>
      </c>
      <c r="D37" s="151">
        <v>7</v>
      </c>
      <c r="E37" s="49">
        <v>48</v>
      </c>
      <c r="F37" s="73">
        <v>0.1</v>
      </c>
      <c r="G37" s="27"/>
      <c r="H37" s="100">
        <f t="shared" si="1"/>
        <v>0</v>
      </c>
    </row>
    <row r="38" spans="1:8" x14ac:dyDescent="0.2">
      <c r="A38" s="26" t="str">
        <f>"9780230731165"</f>
        <v>9780230731165</v>
      </c>
      <c r="B38" s="27" t="str">
        <f>"MR BEG Princess Diana"</f>
        <v>MR BEG Princess Diana</v>
      </c>
      <c r="C38" s="151">
        <v>2</v>
      </c>
      <c r="D38" s="151">
        <v>7</v>
      </c>
      <c r="E38" s="49">
        <v>48</v>
      </c>
      <c r="F38" s="73">
        <v>0.1</v>
      </c>
      <c r="G38" s="27"/>
      <c r="H38" s="100">
        <f t="shared" si="1"/>
        <v>0</v>
      </c>
    </row>
    <row r="39" spans="1:8" x14ac:dyDescent="0.2">
      <c r="A39" s="26" t="str">
        <f>"9781405072502"</f>
        <v>9781405072502</v>
      </c>
      <c r="B39" s="27" t="str">
        <f>"MR BEG Prisoner of Zenda"</f>
        <v>MR BEG Prisoner of Zenda</v>
      </c>
      <c r="C39" s="151">
        <v>2</v>
      </c>
      <c r="D39" s="151">
        <v>7</v>
      </c>
      <c r="E39" s="49">
        <v>48</v>
      </c>
      <c r="F39" s="73">
        <v>0.1</v>
      </c>
      <c r="G39" s="27"/>
      <c r="H39" s="100">
        <f t="shared" si="1"/>
        <v>0</v>
      </c>
    </row>
    <row r="40" spans="1:8" x14ac:dyDescent="0.2">
      <c r="A40" s="26" t="str">
        <f>"9781405072496"</f>
        <v>9781405072496</v>
      </c>
      <c r="B40" s="27" t="str">
        <f>"MR BEG Signalman &amp;Ghost At Trial"</f>
        <v>MR BEG Signalman &amp;Ghost At Trial</v>
      </c>
      <c r="C40" s="151">
        <v>2</v>
      </c>
      <c r="D40" s="151">
        <v>7</v>
      </c>
      <c r="E40" s="49">
        <v>48</v>
      </c>
      <c r="F40" s="73">
        <v>0.1</v>
      </c>
      <c r="G40" s="27"/>
      <c r="H40" s="100">
        <f t="shared" si="1"/>
        <v>0</v>
      </c>
    </row>
    <row r="41" spans="1:8" x14ac:dyDescent="0.2">
      <c r="A41" s="26" t="str">
        <f>"9780230035089"</f>
        <v>9780230035089</v>
      </c>
      <c r="B41" s="27" t="str">
        <f>"MR BEG Tale of two cities"</f>
        <v>MR BEG Tale of two cities</v>
      </c>
      <c r="C41" s="151">
        <v>2</v>
      </c>
      <c r="D41" s="151">
        <v>7</v>
      </c>
      <c r="E41" s="49">
        <v>48</v>
      </c>
      <c r="F41" s="73">
        <v>0.1</v>
      </c>
      <c r="G41" s="27"/>
      <c r="H41" s="100">
        <f t="shared" si="1"/>
        <v>0</v>
      </c>
    </row>
    <row r="42" spans="1:8" x14ac:dyDescent="0.2">
      <c r="A42" s="26" t="str">
        <f>"9780230460324"</f>
        <v>9780230460324</v>
      </c>
      <c r="B42" s="27" t="str">
        <f>"MR BEG The Invisible Man"</f>
        <v>MR BEG The Invisible Man</v>
      </c>
      <c r="C42" s="151">
        <v>2</v>
      </c>
      <c r="D42" s="151">
        <v>7</v>
      </c>
      <c r="E42" s="49">
        <v>48</v>
      </c>
      <c r="F42" s="73">
        <v>0.1</v>
      </c>
      <c r="G42" s="27"/>
      <c r="H42" s="100">
        <f t="shared" si="1"/>
        <v>0</v>
      </c>
    </row>
    <row r="43" spans="1:8" x14ac:dyDescent="0.2">
      <c r="A43" s="26" t="str">
        <f>"9780230035096"</f>
        <v>9780230035096</v>
      </c>
      <c r="B43" s="27" t="str">
        <f>"MR BEG This is London"</f>
        <v>MR BEG This is London</v>
      </c>
      <c r="C43" s="151">
        <v>2</v>
      </c>
      <c r="D43" s="151">
        <v>7</v>
      </c>
      <c r="E43" s="49">
        <v>48</v>
      </c>
      <c r="F43" s="73">
        <v>0.1</v>
      </c>
      <c r="G43" s="27"/>
      <c r="H43" s="100">
        <f t="shared" si="1"/>
        <v>0</v>
      </c>
    </row>
    <row r="44" spans="1:8" x14ac:dyDescent="0.2">
      <c r="A44" s="26" t="str">
        <f>"9780230731158"</f>
        <v>9780230731158</v>
      </c>
      <c r="B44" s="27" t="str">
        <f>"MR BEG Three Musketeers"</f>
        <v>MR BEG Three Musketeers</v>
      </c>
      <c r="C44" s="151">
        <v>2</v>
      </c>
      <c r="D44" s="151">
        <v>7</v>
      </c>
      <c r="E44" s="49">
        <v>48</v>
      </c>
      <c r="F44" s="73">
        <v>0.1</v>
      </c>
      <c r="G44" s="27"/>
      <c r="H44" s="100">
        <f t="shared" si="1"/>
        <v>0</v>
      </c>
    </row>
    <row r="45" spans="1:8" x14ac:dyDescent="0.2">
      <c r="A45" s="26" t="str">
        <f>"9781405072533"</f>
        <v>9781405072533</v>
      </c>
      <c r="B45" s="27" t="str">
        <f>"MR BEG Trumpet Major The"</f>
        <v>MR BEG Trumpet Major The</v>
      </c>
      <c r="C45" s="151">
        <v>2</v>
      </c>
      <c r="D45" s="151">
        <v>7</v>
      </c>
      <c r="E45" s="49">
        <v>48</v>
      </c>
      <c r="F45" s="73">
        <v>0.1</v>
      </c>
      <c r="G45" s="27"/>
      <c r="H45" s="100">
        <f t="shared" si="1"/>
        <v>0</v>
      </c>
    </row>
    <row r="46" spans="1:8" x14ac:dyDescent="0.2">
      <c r="A46" s="26" t="str">
        <f>"9781405072540"</f>
        <v>9781405072540</v>
      </c>
      <c r="B46" s="27" t="str">
        <f>"MR BEG Truth Machine"</f>
        <v>MR BEG Truth Machine</v>
      </c>
      <c r="C46" s="151">
        <v>2</v>
      </c>
      <c r="D46" s="151">
        <v>7</v>
      </c>
      <c r="E46" s="49">
        <v>48</v>
      </c>
      <c r="F46" s="73">
        <v>0.1</v>
      </c>
      <c r="G46" s="27"/>
      <c r="H46" s="100">
        <f t="shared" si="1"/>
        <v>0</v>
      </c>
    </row>
    <row r="47" spans="1:8" ht="15" thickBot="1" x14ac:dyDescent="0.25">
      <c r="A47" s="28" t="str">
        <f>"9781405072557"</f>
        <v>9781405072557</v>
      </c>
      <c r="B47" s="29" t="str">
        <f>"MR BEG Washington Square"</f>
        <v>MR BEG Washington Square</v>
      </c>
      <c r="C47" s="152">
        <v>2</v>
      </c>
      <c r="D47" s="152">
        <v>7</v>
      </c>
      <c r="E47" s="50">
        <v>48</v>
      </c>
      <c r="F47" s="74">
        <v>0.1</v>
      </c>
      <c r="G47" s="29"/>
      <c r="H47" s="100">
        <f t="shared" si="1"/>
        <v>0</v>
      </c>
    </row>
    <row r="48" spans="1:8" s="99" customFormat="1" ht="15" thickBot="1" x14ac:dyDescent="0.25">
      <c r="C48" s="153"/>
      <c r="D48" s="153"/>
      <c r="E48" s="102"/>
      <c r="F48" s="103"/>
      <c r="G48" s="95"/>
      <c r="H48" s="108"/>
    </row>
    <row r="49" spans="1:35" s="6" customFormat="1" ht="15" x14ac:dyDescent="0.25">
      <c r="A49" s="273" t="s">
        <v>113</v>
      </c>
      <c r="B49" s="274"/>
      <c r="C49" s="154"/>
      <c r="D49" s="154"/>
      <c r="E49" s="51"/>
      <c r="F49" s="75"/>
      <c r="G49" s="30"/>
      <c r="H49" s="145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x14ac:dyDescent="0.2">
      <c r="A50" s="31" t="str">
        <f>"9780230029231"</f>
        <v>9780230029231</v>
      </c>
      <c r="B50" s="32" t="str">
        <f>"MR ELE Black Cat"</f>
        <v>MR ELE Black Cat</v>
      </c>
      <c r="C50" s="155">
        <v>3</v>
      </c>
      <c r="D50" s="155" t="s">
        <v>0</v>
      </c>
      <c r="E50" s="52">
        <v>49</v>
      </c>
      <c r="F50" s="76">
        <v>0.1</v>
      </c>
      <c r="G50" s="32"/>
      <c r="H50" s="122">
        <f>IF(G50&gt;0,(E50*G50)-(F50*E50),0)</f>
        <v>0</v>
      </c>
    </row>
    <row r="51" spans="1:35" x14ac:dyDescent="0.2">
      <c r="A51" s="31" t="str">
        <f>"9780230030794"</f>
        <v>9780230030794</v>
      </c>
      <c r="B51" s="32" t="str">
        <f>"MR ELE Canterville Ghost &amp; Other Stories"</f>
        <v>MR ELE Canterville Ghost &amp; Other Stories</v>
      </c>
      <c r="C51" s="155">
        <v>3</v>
      </c>
      <c r="D51" s="155" t="s">
        <v>0</v>
      </c>
      <c r="E51" s="52">
        <v>49</v>
      </c>
      <c r="F51" s="76">
        <v>0.1</v>
      </c>
      <c r="G51" s="32"/>
      <c r="H51" s="122">
        <f t="shared" ref="H51:H78" si="2">IF(G51&gt;0,(E51*G51)-(F51*E51),0)</f>
        <v>0</v>
      </c>
    </row>
    <row r="52" spans="1:35" x14ac:dyDescent="0.2">
      <c r="A52" s="31" t="str">
        <f>"9781405072588"</f>
        <v>9781405072588</v>
      </c>
      <c r="B52" s="32" t="str">
        <f>"MR ELE Christmas Carol, A"</f>
        <v>MR ELE Christmas Carol, A</v>
      </c>
      <c r="C52" s="155">
        <v>3</v>
      </c>
      <c r="D52" s="155" t="s">
        <v>0</v>
      </c>
      <c r="E52" s="52">
        <v>49</v>
      </c>
      <c r="F52" s="76">
        <v>0.1</v>
      </c>
      <c r="G52" s="32"/>
      <c r="H52" s="122">
        <f t="shared" si="2"/>
        <v>0</v>
      </c>
    </row>
    <row r="53" spans="1:35" x14ac:dyDescent="0.2">
      <c r="A53" s="31" t="str">
        <f>"9781405072595"</f>
        <v>9781405072595</v>
      </c>
      <c r="B53" s="32" t="str">
        <f>"MR ELE Claws"</f>
        <v>MR ELE Claws</v>
      </c>
      <c r="C53" s="155">
        <v>3</v>
      </c>
      <c r="D53" s="155" t="s">
        <v>0</v>
      </c>
      <c r="E53" s="52">
        <v>49</v>
      </c>
      <c r="F53" s="76">
        <v>0.1</v>
      </c>
      <c r="G53" s="32"/>
      <c r="H53" s="122">
        <f t="shared" si="2"/>
        <v>0</v>
      </c>
    </row>
    <row r="54" spans="1:35" x14ac:dyDescent="0.2">
      <c r="A54" s="31" t="str">
        <f>"9781405072649"</f>
        <v>9781405072649</v>
      </c>
      <c r="B54" s="32" t="str">
        <f>"MR ELE Don't Tell Me What To Do"</f>
        <v>MR ELE Don't Tell Me What To Do</v>
      </c>
      <c r="C54" s="155">
        <v>3</v>
      </c>
      <c r="D54" s="155" t="s">
        <v>0</v>
      </c>
      <c r="E54" s="52">
        <v>49</v>
      </c>
      <c r="F54" s="76">
        <v>0.1</v>
      </c>
      <c r="G54" s="32"/>
      <c r="H54" s="122">
        <f t="shared" si="2"/>
        <v>0</v>
      </c>
    </row>
    <row r="55" spans="1:35" x14ac:dyDescent="0.2">
      <c r="A55" s="31" t="str">
        <f>"9781405072656"</f>
        <v>9781405072656</v>
      </c>
      <c r="B55" s="32" t="str">
        <f>"MR ELE Dr Jekyll and Mr Hyde"</f>
        <v>MR ELE Dr Jekyll and Mr Hyde</v>
      </c>
      <c r="C55" s="155">
        <v>3</v>
      </c>
      <c r="D55" s="155" t="s">
        <v>0</v>
      </c>
      <c r="E55" s="52">
        <v>49</v>
      </c>
      <c r="F55" s="76">
        <v>0.1</v>
      </c>
      <c r="G55" s="32"/>
      <c r="H55" s="122">
        <f t="shared" si="2"/>
        <v>0</v>
      </c>
    </row>
    <row r="56" spans="1:35" x14ac:dyDescent="0.2">
      <c r="A56" s="31" t="str">
        <f>"9781405072663"</f>
        <v>9781405072663</v>
      </c>
      <c r="B56" s="32" t="str">
        <f>"MR ELE Escape &amp; Other Stories"</f>
        <v>MR ELE Escape &amp; Other Stories</v>
      </c>
      <c r="C56" s="155">
        <v>3</v>
      </c>
      <c r="D56" s="155" t="s">
        <v>0</v>
      </c>
      <c r="E56" s="52">
        <v>49</v>
      </c>
      <c r="F56" s="76">
        <v>0.1</v>
      </c>
      <c r="G56" s="32"/>
      <c r="H56" s="122">
        <f t="shared" si="2"/>
        <v>0</v>
      </c>
    </row>
    <row r="57" spans="1:35" x14ac:dyDescent="0.2">
      <c r="A57" s="31" t="str">
        <f>"9780230030435"</f>
        <v>9780230030435</v>
      </c>
      <c r="B57" s="32" t="str">
        <f>"MR ELE Frankenstein"</f>
        <v>MR ELE Frankenstein</v>
      </c>
      <c r="C57" s="155">
        <v>3</v>
      </c>
      <c r="D57" s="155" t="s">
        <v>0</v>
      </c>
      <c r="E57" s="52">
        <v>49</v>
      </c>
      <c r="F57" s="76">
        <v>0.1</v>
      </c>
      <c r="G57" s="32"/>
      <c r="H57" s="122">
        <f t="shared" si="2"/>
        <v>0</v>
      </c>
    </row>
    <row r="58" spans="1:35" x14ac:dyDescent="0.2">
      <c r="A58" s="31" t="str">
        <f>"9780230029248"</f>
        <v>9780230029248</v>
      </c>
      <c r="B58" s="32" t="str">
        <f>"MR ELE Hounds of the Baskerville"</f>
        <v>MR ELE Hounds of the Baskerville</v>
      </c>
      <c r="C58" s="155">
        <v>3</v>
      </c>
      <c r="D58" s="155" t="s">
        <v>0</v>
      </c>
      <c r="E58" s="52">
        <v>49</v>
      </c>
      <c r="F58" s="76">
        <v>0.1</v>
      </c>
      <c r="G58" s="32"/>
      <c r="H58" s="122">
        <f t="shared" si="2"/>
        <v>0</v>
      </c>
    </row>
    <row r="59" spans="1:35" x14ac:dyDescent="0.2">
      <c r="A59" s="31" t="str">
        <f>"9780230035102"</f>
        <v>9780230035102</v>
      </c>
      <c r="B59" s="32" t="str">
        <f>"MR ELE L.A. Winners"</f>
        <v>MR ELE L.A. Winners</v>
      </c>
      <c r="C59" s="155">
        <v>3</v>
      </c>
      <c r="D59" s="155" t="s">
        <v>0</v>
      </c>
      <c r="E59" s="52">
        <v>49</v>
      </c>
      <c r="F59" s="76">
        <v>0.1</v>
      </c>
      <c r="G59" s="32"/>
      <c r="H59" s="122">
        <f t="shared" si="2"/>
        <v>0</v>
      </c>
    </row>
    <row r="60" spans="1:35" x14ac:dyDescent="0.2">
      <c r="A60" s="31" t="str">
        <f>"9780230035119"</f>
        <v>9780230035119</v>
      </c>
      <c r="B60" s="32" t="str">
        <f>"MR ELE Legends of Sleepy Hollow and Rip Van Wink"</f>
        <v>MR ELE Legends of Sleepy Hollow and Rip Van Wink</v>
      </c>
      <c r="C60" s="155">
        <v>3</v>
      </c>
      <c r="D60" s="155" t="s">
        <v>0</v>
      </c>
      <c r="E60" s="52">
        <v>49</v>
      </c>
      <c r="F60" s="76">
        <v>0.1</v>
      </c>
      <c r="G60" s="32"/>
      <c r="H60" s="122">
        <f t="shared" si="2"/>
        <v>0</v>
      </c>
    </row>
    <row r="61" spans="1:35" x14ac:dyDescent="0.2">
      <c r="A61" s="31" t="str">
        <f>"9781405072717"</f>
        <v>9781405072717</v>
      </c>
      <c r="B61" s="32" t="str">
        <f>"MR ELE Lost World"</f>
        <v>MR ELE Lost World</v>
      </c>
      <c r="C61" s="155">
        <v>3</v>
      </c>
      <c r="D61" s="155" t="s">
        <v>0</v>
      </c>
      <c r="E61" s="52">
        <v>49</v>
      </c>
      <c r="F61" s="76">
        <v>0.1</v>
      </c>
      <c r="G61" s="32"/>
      <c r="H61" s="122">
        <f t="shared" si="2"/>
        <v>0</v>
      </c>
    </row>
    <row r="62" spans="1:35" x14ac:dyDescent="0.2">
      <c r="A62" s="31" t="str">
        <f>"9781405072724"</f>
        <v>9781405072724</v>
      </c>
      <c r="B62" s="32" t="str">
        <f>"MR ELE Love by Design"</f>
        <v>MR ELE Love by Design</v>
      </c>
      <c r="C62" s="155">
        <v>3</v>
      </c>
      <c r="D62" s="155" t="s">
        <v>0</v>
      </c>
      <c r="E62" s="52">
        <v>49</v>
      </c>
      <c r="F62" s="76">
        <v>0.1</v>
      </c>
      <c r="G62" s="32"/>
      <c r="H62" s="122">
        <f t="shared" si="2"/>
        <v>0</v>
      </c>
    </row>
    <row r="63" spans="1:35" x14ac:dyDescent="0.2">
      <c r="A63" s="31" t="str">
        <f>"9780230029217"</f>
        <v>9780230029217</v>
      </c>
      <c r="B63" s="32" t="str">
        <f>"MR ELE Mark of Zoro"</f>
        <v>MR ELE Mark of Zoro</v>
      </c>
      <c r="C63" s="155">
        <v>3</v>
      </c>
      <c r="D63" s="155" t="s">
        <v>0</v>
      </c>
      <c r="E63" s="52">
        <v>49</v>
      </c>
      <c r="F63" s="76">
        <v>0.1</v>
      </c>
      <c r="G63" s="32"/>
      <c r="H63" s="122">
        <f t="shared" si="2"/>
        <v>0</v>
      </c>
    </row>
    <row r="64" spans="1:35" x14ac:dyDescent="0.2">
      <c r="A64" s="31" t="str">
        <f>"9780230037434"</f>
        <v>9780230037434</v>
      </c>
      <c r="B64" s="32" t="str">
        <f>"MR ELE Phantom Airman"</f>
        <v>MR ELE Phantom Airman</v>
      </c>
      <c r="C64" s="155">
        <v>3</v>
      </c>
      <c r="D64" s="155" t="s">
        <v>0</v>
      </c>
      <c r="E64" s="52">
        <v>49</v>
      </c>
      <c r="F64" s="76">
        <v>0.1</v>
      </c>
      <c r="G64" s="32"/>
      <c r="H64" s="122">
        <f t="shared" si="2"/>
        <v>0</v>
      </c>
    </row>
    <row r="65" spans="1:8" x14ac:dyDescent="0.2">
      <c r="A65" s="31" t="str">
        <f>"9780230029224"</f>
        <v>9780230029224</v>
      </c>
      <c r="B65" s="32" t="str">
        <f>"MR ELE Picture of Dorian Gray"</f>
        <v>MR ELE Picture of Dorian Gray</v>
      </c>
      <c r="C65" s="155">
        <v>3</v>
      </c>
      <c r="D65" s="155" t="s">
        <v>0</v>
      </c>
      <c r="E65" s="52">
        <v>49</v>
      </c>
      <c r="F65" s="76">
        <v>0.1</v>
      </c>
      <c r="G65" s="32"/>
      <c r="H65" s="122">
        <f t="shared" si="2"/>
        <v>0</v>
      </c>
    </row>
    <row r="66" spans="1:8" x14ac:dyDescent="0.2">
      <c r="A66" s="31" t="str">
        <f>"9780230037472"</f>
        <v>9780230037472</v>
      </c>
      <c r="B66" s="32" t="str">
        <f>"MR ELE Princess Diaries 1"</f>
        <v>MR ELE Princess Diaries 1</v>
      </c>
      <c r="C66" s="155">
        <v>3</v>
      </c>
      <c r="D66" s="155" t="s">
        <v>0</v>
      </c>
      <c r="E66" s="52">
        <v>49</v>
      </c>
      <c r="F66" s="76">
        <v>0.1</v>
      </c>
      <c r="G66" s="32"/>
      <c r="H66" s="122">
        <f t="shared" si="2"/>
        <v>0</v>
      </c>
    </row>
    <row r="67" spans="1:8" x14ac:dyDescent="0.2">
      <c r="A67" s="31" t="str">
        <f>"9780230037489"</f>
        <v>9780230037489</v>
      </c>
      <c r="B67" s="32" t="str">
        <f>"MR ELE Princess Diaries 2"</f>
        <v>MR ELE Princess Diaries 2</v>
      </c>
      <c r="C67" s="155">
        <v>3</v>
      </c>
      <c r="D67" s="155" t="s">
        <v>0</v>
      </c>
      <c r="E67" s="52">
        <v>49</v>
      </c>
      <c r="F67" s="76">
        <v>0.1</v>
      </c>
      <c r="G67" s="32"/>
      <c r="H67" s="122">
        <f t="shared" si="2"/>
        <v>0</v>
      </c>
    </row>
    <row r="68" spans="1:8" x14ac:dyDescent="0.2">
      <c r="A68" s="31" t="str">
        <f>"9781405072779"</f>
        <v>9781405072779</v>
      </c>
      <c r="B68" s="32" t="str">
        <f>"MR ELE Promise, The"</f>
        <v>MR ELE Promise, The</v>
      </c>
      <c r="C68" s="155">
        <v>3</v>
      </c>
      <c r="D68" s="155" t="s">
        <v>0</v>
      </c>
      <c r="E68" s="52">
        <v>49</v>
      </c>
      <c r="F68" s="76">
        <v>0.1</v>
      </c>
      <c r="G68" s="32"/>
      <c r="H68" s="122">
        <f t="shared" si="2"/>
        <v>0</v>
      </c>
    </row>
    <row r="69" spans="1:8" x14ac:dyDescent="0.2">
      <c r="A69" s="31" t="str">
        <f>"9781405072830"</f>
        <v>9781405072830</v>
      </c>
      <c r="B69" s="32" t="str">
        <f>"MR ELE Quest, The"</f>
        <v>MR ELE Quest, The</v>
      </c>
      <c r="C69" s="155">
        <v>3</v>
      </c>
      <c r="D69" s="155" t="s">
        <v>0</v>
      </c>
      <c r="E69" s="52">
        <v>49</v>
      </c>
      <c r="F69" s="76">
        <v>0.1</v>
      </c>
      <c r="G69" s="32"/>
      <c r="H69" s="122">
        <f t="shared" si="2"/>
        <v>0</v>
      </c>
    </row>
    <row r="70" spans="1:8" x14ac:dyDescent="0.2">
      <c r="A70" s="31" t="str">
        <f>"9780230035126"</f>
        <v>9780230035126</v>
      </c>
      <c r="B70" s="32" t="str">
        <f>"MR ELE Room 13 and Other Ghost Stories"</f>
        <v>MR ELE Room 13 and Other Ghost Stories</v>
      </c>
      <c r="C70" s="155">
        <v>3</v>
      </c>
      <c r="D70" s="155" t="s">
        <v>0</v>
      </c>
      <c r="E70" s="52">
        <v>49</v>
      </c>
      <c r="F70" s="76">
        <v>0.1</v>
      </c>
      <c r="G70" s="32"/>
      <c r="H70" s="122">
        <f t="shared" si="2"/>
        <v>0</v>
      </c>
    </row>
    <row r="71" spans="1:8" x14ac:dyDescent="0.2">
      <c r="A71" s="31" t="str">
        <f>"9780230037465"</f>
        <v>9780230037465</v>
      </c>
      <c r="B71" s="32" t="str">
        <f>"MR ELE Seven Stories of Mystery and Horror"</f>
        <v>MR ELE Seven Stories of Mystery and Horror</v>
      </c>
      <c r="C71" s="155">
        <v>3</v>
      </c>
      <c r="D71" s="155" t="s">
        <v>0</v>
      </c>
      <c r="E71" s="52">
        <v>49</v>
      </c>
      <c r="F71" s="76">
        <v>0.1</v>
      </c>
      <c r="G71" s="32"/>
      <c r="H71" s="122">
        <f t="shared" si="2"/>
        <v>0</v>
      </c>
    </row>
    <row r="72" spans="1:8" x14ac:dyDescent="0.2">
      <c r="A72" s="31" t="str">
        <f>"9781405072793"</f>
        <v>9781405072793</v>
      </c>
      <c r="B72" s="32" t="str">
        <f>"MR ELE Silver Blaze"</f>
        <v>MR ELE Silver Blaze</v>
      </c>
      <c r="C72" s="155">
        <v>3</v>
      </c>
      <c r="D72" s="155" t="s">
        <v>0</v>
      </c>
      <c r="E72" s="52">
        <v>49</v>
      </c>
      <c r="F72" s="76">
        <v>0.1</v>
      </c>
      <c r="G72" s="32"/>
      <c r="H72" s="122">
        <f t="shared" si="2"/>
        <v>0</v>
      </c>
    </row>
    <row r="73" spans="1:8" x14ac:dyDescent="0.2">
      <c r="A73" s="31" t="str">
        <f>"9780230035140"</f>
        <v>9780230035140</v>
      </c>
      <c r="B73" s="32" t="str">
        <f>"MR ELE Tales of Horror"</f>
        <v>MR ELE Tales of Horror</v>
      </c>
      <c r="C73" s="155">
        <v>3</v>
      </c>
      <c r="D73" s="155" t="s">
        <v>0</v>
      </c>
      <c r="E73" s="52">
        <v>49</v>
      </c>
      <c r="F73" s="76">
        <v>0.1</v>
      </c>
      <c r="G73" s="32"/>
      <c r="H73" s="122">
        <f t="shared" si="2"/>
        <v>0</v>
      </c>
    </row>
    <row r="74" spans="1:8" x14ac:dyDescent="0.2">
      <c r="A74" s="31" t="str">
        <f>"9781405072823"</f>
        <v>9781405072823</v>
      </c>
      <c r="B74" s="32" t="str">
        <f>"MR ELE Tales of Ten Worlds"</f>
        <v>MR ELE Tales of Ten Worlds</v>
      </c>
      <c r="C74" s="155">
        <v>3</v>
      </c>
      <c r="D74" s="155" t="s">
        <v>0</v>
      </c>
      <c r="E74" s="52">
        <v>49</v>
      </c>
      <c r="F74" s="76">
        <v>0.1</v>
      </c>
      <c r="G74" s="32"/>
      <c r="H74" s="122">
        <f t="shared" si="2"/>
        <v>0</v>
      </c>
    </row>
    <row r="75" spans="1:8" x14ac:dyDescent="0.2">
      <c r="A75" s="31" t="str">
        <f>"9780230035133"</f>
        <v>9780230035133</v>
      </c>
      <c r="B75" s="32" t="str">
        <f>"MR ELE The Stranger"</f>
        <v>MR ELE The Stranger</v>
      </c>
      <c r="C75" s="155">
        <v>3</v>
      </c>
      <c r="D75" s="155" t="s">
        <v>0</v>
      </c>
      <c r="E75" s="52">
        <v>49</v>
      </c>
      <c r="F75" s="76">
        <v>0.1</v>
      </c>
      <c r="G75" s="32"/>
      <c r="H75" s="122">
        <f t="shared" si="2"/>
        <v>0</v>
      </c>
    </row>
    <row r="76" spans="1:8" x14ac:dyDescent="0.2">
      <c r="A76" s="31" t="str">
        <f>"9781405072847"</f>
        <v>9781405072847</v>
      </c>
      <c r="B76" s="32" t="str">
        <f>"MR ELE Treasure Island"</f>
        <v>MR ELE Treasure Island</v>
      </c>
      <c r="C76" s="155">
        <v>3</v>
      </c>
      <c r="D76" s="155" t="s">
        <v>0</v>
      </c>
      <c r="E76" s="52">
        <v>49</v>
      </c>
      <c r="F76" s="76">
        <v>0.1</v>
      </c>
      <c r="G76" s="32"/>
      <c r="H76" s="122">
        <f t="shared" si="2"/>
        <v>0</v>
      </c>
    </row>
    <row r="77" spans="1:8" x14ac:dyDescent="0.2">
      <c r="A77" s="31" t="str">
        <f>"9780230034402"</f>
        <v>9780230034402</v>
      </c>
      <c r="B77" s="32" t="str">
        <f>"MR ELE White Fang"</f>
        <v>MR ELE White Fang</v>
      </c>
      <c r="C77" s="155">
        <v>3</v>
      </c>
      <c r="D77" s="155" t="s">
        <v>0</v>
      </c>
      <c r="E77" s="52">
        <v>49</v>
      </c>
      <c r="F77" s="76">
        <v>0.1</v>
      </c>
      <c r="G77" s="32"/>
      <c r="H77" s="122">
        <f t="shared" si="2"/>
        <v>0</v>
      </c>
    </row>
    <row r="78" spans="1:8" ht="15" thickBot="1" x14ac:dyDescent="0.25">
      <c r="A78" s="33" t="str">
        <f>"9780230037458"</f>
        <v>9780230037458</v>
      </c>
      <c r="B78" s="34" t="str">
        <f>"MR ELE Woman in Black"</f>
        <v>MR ELE Woman in Black</v>
      </c>
      <c r="C78" s="156">
        <v>3</v>
      </c>
      <c r="D78" s="156" t="s">
        <v>0</v>
      </c>
      <c r="E78" s="53">
        <v>49</v>
      </c>
      <c r="F78" s="76">
        <v>0.1</v>
      </c>
      <c r="G78" s="34"/>
      <c r="H78" s="143">
        <f t="shared" si="2"/>
        <v>0</v>
      </c>
    </row>
    <row r="79" spans="1:8" s="99" customFormat="1" ht="15" thickBot="1" x14ac:dyDescent="0.25">
      <c r="C79" s="153"/>
      <c r="D79" s="153"/>
      <c r="E79" s="102"/>
      <c r="F79" s="105"/>
      <c r="G79" s="95"/>
      <c r="H79" s="98"/>
    </row>
    <row r="80" spans="1:8" ht="15" x14ac:dyDescent="0.25">
      <c r="A80" s="275" t="s">
        <v>114</v>
      </c>
      <c r="B80" s="276"/>
      <c r="C80" s="157"/>
      <c r="D80" s="157"/>
      <c r="E80" s="54"/>
      <c r="F80" s="77"/>
      <c r="G80" s="35"/>
      <c r="H80" s="144"/>
    </row>
    <row r="81" spans="1:8" x14ac:dyDescent="0.2">
      <c r="A81" s="36" t="str">
        <f>"9780230436374"</f>
        <v>9780230436374</v>
      </c>
      <c r="B81" s="37" t="str">
        <f>"MR Pre Macmillan Cultural Readers: England witho"</f>
        <v>MR Pre Macmillan Cultural Readers: England witho</v>
      </c>
      <c r="C81" s="158">
        <v>4</v>
      </c>
      <c r="D81" s="158" t="s">
        <v>130</v>
      </c>
      <c r="E81" s="55">
        <v>53.4</v>
      </c>
      <c r="F81" s="78">
        <v>0.1</v>
      </c>
      <c r="G81" s="37"/>
      <c r="H81" s="120">
        <f>IF(G81&gt;0,(E81*G81)-(F81*E81),0)</f>
        <v>0</v>
      </c>
    </row>
    <row r="82" spans="1:8" x14ac:dyDescent="0.2">
      <c r="A82" s="36" t="str">
        <f>"9780230436381"</f>
        <v>9780230436381</v>
      </c>
      <c r="B82" s="37" t="str">
        <f>"MR Pre Macmillan Cultural Readers: The United St"</f>
        <v>MR Pre Macmillan Cultural Readers: The United St</v>
      </c>
      <c r="C82" s="158">
        <v>4</v>
      </c>
      <c r="D82" s="158" t="s">
        <v>130</v>
      </c>
      <c r="E82" s="55">
        <v>53.4</v>
      </c>
      <c r="F82" s="78">
        <v>0.1</v>
      </c>
      <c r="G82" s="37"/>
      <c r="H82" s="120">
        <f t="shared" ref="H82:H103" si="3">IF(G82&gt;0,(E82*G82)-(F82*E82),0)</f>
        <v>0</v>
      </c>
    </row>
    <row r="83" spans="1:8" x14ac:dyDescent="0.2">
      <c r="A83" s="36" t="str">
        <f>"9780230408401"</f>
        <v>9780230408401</v>
      </c>
      <c r="B83" s="37" t="str">
        <f>"MR Pre-Int Call of the Wild Reader without Audio"</f>
        <v>MR Pre-Int Call of the Wild Reader without Audio</v>
      </c>
      <c r="C83" s="158">
        <v>4</v>
      </c>
      <c r="D83" s="158" t="s">
        <v>130</v>
      </c>
      <c r="E83" s="55">
        <v>53.4</v>
      </c>
      <c r="F83" s="78">
        <v>0.1</v>
      </c>
      <c r="G83" s="37"/>
      <c r="H83" s="120">
        <f t="shared" si="3"/>
        <v>0</v>
      </c>
    </row>
    <row r="84" spans="1:8" x14ac:dyDescent="0.2">
      <c r="A84" s="36" t="str">
        <f>"9780230037496"</f>
        <v>9780230037496</v>
      </c>
      <c r="B84" s="37" t="str">
        <f>"MR Pre-Int Casino Royal"</f>
        <v>MR Pre-Int Casino Royal</v>
      </c>
      <c r="C84" s="158">
        <v>4</v>
      </c>
      <c r="D84" s="158" t="s">
        <v>130</v>
      </c>
      <c r="E84" s="55">
        <v>53.4</v>
      </c>
      <c r="F84" s="78">
        <v>0.1</v>
      </c>
      <c r="G84" s="37"/>
      <c r="H84" s="120">
        <f t="shared" si="3"/>
        <v>0</v>
      </c>
    </row>
    <row r="85" spans="1:8" x14ac:dyDescent="0.2">
      <c r="A85" s="36" t="str">
        <f>"9780230035164"</f>
        <v>9780230035164</v>
      </c>
      <c r="B85" s="37" t="str">
        <f>"MR Pre-Int D H Lawrence, Select Short Stories"</f>
        <v>MR Pre-Int D H Lawrence, Select Short Stories</v>
      </c>
      <c r="C85" s="158">
        <v>4</v>
      </c>
      <c r="D85" s="158" t="s">
        <v>130</v>
      </c>
      <c r="E85" s="55">
        <v>53.4</v>
      </c>
      <c r="F85" s="78">
        <v>0.1</v>
      </c>
      <c r="G85" s="37"/>
      <c r="H85" s="120">
        <f t="shared" si="3"/>
        <v>0</v>
      </c>
    </row>
    <row r="86" spans="1:8" x14ac:dyDescent="0.2">
      <c r="A86" s="36" t="str">
        <f>"9780230035157"</f>
        <v>9780230035157</v>
      </c>
      <c r="B86" s="37" t="str">
        <f>"MR Pre-Int Daisy Miller"</f>
        <v>MR Pre-Int Daisy Miller</v>
      </c>
      <c r="C86" s="158">
        <v>4</v>
      </c>
      <c r="D86" s="158" t="s">
        <v>130</v>
      </c>
      <c r="E86" s="55">
        <v>53.4</v>
      </c>
      <c r="F86" s="78">
        <v>0.1</v>
      </c>
      <c r="G86" s="37"/>
      <c r="H86" s="120">
        <f t="shared" si="3"/>
        <v>0</v>
      </c>
    </row>
    <row r="87" spans="1:8" x14ac:dyDescent="0.2">
      <c r="A87" s="36" t="str">
        <f>"9780230731196"</f>
        <v>9780230731196</v>
      </c>
      <c r="B87" s="37" t="str">
        <f>"MR Pre-Int Diamonds are Forever"</f>
        <v>MR Pre-Int Diamonds are Forever</v>
      </c>
      <c r="C87" s="158">
        <v>4</v>
      </c>
      <c r="D87" s="158" t="s">
        <v>130</v>
      </c>
      <c r="E87" s="55">
        <v>53.4</v>
      </c>
      <c r="F87" s="78">
        <v>0.1</v>
      </c>
      <c r="G87" s="37"/>
      <c r="H87" s="120">
        <f t="shared" si="3"/>
        <v>0</v>
      </c>
    </row>
    <row r="88" spans="1:8" x14ac:dyDescent="0.2">
      <c r="A88" s="36" t="str">
        <f>"9780230030527"</f>
        <v>9780230030527</v>
      </c>
      <c r="B88" s="37" t="str">
        <f>"MR Pre-Int Far from the Madding Crowd"</f>
        <v>MR Pre-Int Far from the Madding Crowd</v>
      </c>
      <c r="C88" s="158">
        <v>4</v>
      </c>
      <c r="D88" s="158" t="s">
        <v>130</v>
      </c>
      <c r="E88" s="55">
        <v>53.4</v>
      </c>
      <c r="F88" s="78">
        <v>0.1</v>
      </c>
      <c r="G88" s="37"/>
      <c r="H88" s="120">
        <f t="shared" si="3"/>
        <v>0</v>
      </c>
    </row>
    <row r="89" spans="1:8" x14ac:dyDescent="0.2">
      <c r="A89" s="36" t="str">
        <f>"9780230034419"</f>
        <v>9780230034419</v>
      </c>
      <c r="B89" s="37" t="str">
        <f>"MR Pre-Int Heidi"</f>
        <v>MR Pre-Int Heidi</v>
      </c>
      <c r="C89" s="158">
        <v>4</v>
      </c>
      <c r="D89" s="158" t="s">
        <v>130</v>
      </c>
      <c r="E89" s="55">
        <v>53.4</v>
      </c>
      <c r="F89" s="78">
        <v>0.1</v>
      </c>
      <c r="G89" s="37"/>
      <c r="H89" s="120">
        <f t="shared" si="3"/>
        <v>0</v>
      </c>
    </row>
    <row r="90" spans="1:8" x14ac:dyDescent="0.2">
      <c r="A90" s="36" t="str">
        <f>"9780230034433"</f>
        <v>9780230034433</v>
      </c>
      <c r="B90" s="37" t="str">
        <f>"MR Pre-INT I Robot"</f>
        <v>MR Pre-INT I Robot</v>
      </c>
      <c r="C90" s="158">
        <v>4</v>
      </c>
      <c r="D90" s="158" t="s">
        <v>130</v>
      </c>
      <c r="E90" s="55">
        <v>53.4</v>
      </c>
      <c r="F90" s="78">
        <v>0.1</v>
      </c>
      <c r="G90" s="37"/>
      <c r="H90" s="120">
        <f t="shared" si="3"/>
        <v>0</v>
      </c>
    </row>
    <row r="91" spans="1:8" x14ac:dyDescent="0.2">
      <c r="A91" s="36" t="str">
        <f>"9780230400498"</f>
        <v>9780230400498</v>
      </c>
      <c r="B91" s="37" t="str">
        <f>"MR Pre-Int Kick-Off!the Story of Football"</f>
        <v>MR Pre-Int Kick-Off!the Story of Football</v>
      </c>
      <c r="C91" s="158">
        <v>4</v>
      </c>
      <c r="D91" s="158" t="s">
        <v>130</v>
      </c>
      <c r="E91" s="55">
        <v>53.4</v>
      </c>
      <c r="F91" s="78">
        <v>0.1</v>
      </c>
      <c r="G91" s="37"/>
      <c r="H91" s="120">
        <f t="shared" si="3"/>
        <v>0</v>
      </c>
    </row>
    <row r="92" spans="1:8" x14ac:dyDescent="0.2">
      <c r="A92" s="36" t="str">
        <f>"9781405087278"</f>
        <v>9781405087278</v>
      </c>
      <c r="B92" s="37" t="str">
        <f>"MR PRE-INT Midsummer Night's Dre"</f>
        <v>MR PRE-INT Midsummer Night's Dre</v>
      </c>
      <c r="C92" s="158">
        <v>4</v>
      </c>
      <c r="D92" s="158" t="s">
        <v>130</v>
      </c>
      <c r="E92" s="55">
        <v>53.4</v>
      </c>
      <c r="F92" s="78">
        <v>0.1</v>
      </c>
      <c r="G92" s="37"/>
      <c r="H92" s="120">
        <f t="shared" si="3"/>
        <v>0</v>
      </c>
    </row>
    <row r="93" spans="1:8" x14ac:dyDescent="0.2">
      <c r="A93" s="36" t="str">
        <f>"9780230731172"</f>
        <v>9780230731172</v>
      </c>
      <c r="B93" s="37" t="str">
        <f>"MR Pre-INT Nelson Mandela"</f>
        <v>MR Pre-INT Nelson Mandela</v>
      </c>
      <c r="C93" s="158">
        <v>4</v>
      </c>
      <c r="D93" s="158" t="s">
        <v>130</v>
      </c>
      <c r="E93" s="55">
        <v>53.4</v>
      </c>
      <c r="F93" s="78">
        <v>0.1</v>
      </c>
      <c r="G93" s="37"/>
      <c r="H93" s="120">
        <f t="shared" si="3"/>
        <v>0</v>
      </c>
    </row>
    <row r="94" spans="1:8" x14ac:dyDescent="0.2">
      <c r="A94" s="36" t="str">
        <f>"9780230035171"</f>
        <v>9780230035171</v>
      </c>
      <c r="B94" s="37" t="str">
        <f>"MR Pre-Int Owl Creek Bridge and Other Stories"</f>
        <v>MR Pre-Int Owl Creek Bridge and Other Stories</v>
      </c>
      <c r="C94" s="158">
        <v>4</v>
      </c>
      <c r="D94" s="158" t="s">
        <v>130</v>
      </c>
      <c r="E94" s="55">
        <v>53.4</v>
      </c>
      <c r="F94" s="78">
        <v>0.1</v>
      </c>
      <c r="G94" s="37"/>
      <c r="H94" s="120">
        <f t="shared" si="3"/>
        <v>0</v>
      </c>
    </row>
    <row r="95" spans="1:8" x14ac:dyDescent="0.2">
      <c r="A95" s="36" t="str">
        <f>"9780230422810"</f>
        <v>9780230422810</v>
      </c>
      <c r="B95" s="37" t="str">
        <f>"MR PRE-INT Owl Hall Reader without Audi"</f>
        <v>MR PRE-INT Owl Hall Reader without Audi</v>
      </c>
      <c r="C95" s="158">
        <v>4</v>
      </c>
      <c r="D95" s="158" t="s">
        <v>130</v>
      </c>
      <c r="E95" s="55">
        <v>53.4</v>
      </c>
      <c r="F95" s="78">
        <v>0.1</v>
      </c>
      <c r="G95" s="37"/>
      <c r="H95" s="120">
        <f t="shared" si="3"/>
        <v>0</v>
      </c>
    </row>
    <row r="96" spans="1:8" x14ac:dyDescent="0.2">
      <c r="A96" s="36" t="str">
        <f>"9780230735132"</f>
        <v>9780230735132</v>
      </c>
      <c r="B96" s="37" t="str">
        <f>"MR Pre-Int Persuasion W/CD"</f>
        <v>MR Pre-Int Persuasion W/CD</v>
      </c>
      <c r="C96" s="158">
        <v>4</v>
      </c>
      <c r="D96" s="158" t="s">
        <v>130</v>
      </c>
      <c r="E96" s="55">
        <v>76</v>
      </c>
      <c r="F96" s="78">
        <v>0.1</v>
      </c>
      <c r="G96" s="37"/>
      <c r="H96" s="120">
        <f t="shared" si="3"/>
        <v>0</v>
      </c>
    </row>
    <row r="97" spans="1:8" x14ac:dyDescent="0.2">
      <c r="A97" s="36" t="str">
        <f>"9780230030497"</f>
        <v>9780230030497</v>
      </c>
      <c r="B97" s="37" t="str">
        <f>"MR Pre-Int Robin Hood"</f>
        <v>MR Pre-Int Robin Hood</v>
      </c>
      <c r="C97" s="158">
        <v>4</v>
      </c>
      <c r="D97" s="158" t="s">
        <v>130</v>
      </c>
      <c r="E97" s="55">
        <v>53.4</v>
      </c>
      <c r="F97" s="78">
        <v>0.1</v>
      </c>
      <c r="G97" s="37"/>
      <c r="H97" s="120">
        <f t="shared" si="3"/>
        <v>0</v>
      </c>
    </row>
    <row r="98" spans="1:8" x14ac:dyDescent="0.2">
      <c r="A98" s="36" t="str">
        <f>"9780230731189"</f>
        <v>9780230731189</v>
      </c>
      <c r="B98" s="37" t="str">
        <f>"MR Pre-INT Robinson Crusoe"</f>
        <v>MR Pre-INT Robinson Crusoe</v>
      </c>
      <c r="C98" s="158">
        <v>4</v>
      </c>
      <c r="D98" s="158" t="s">
        <v>130</v>
      </c>
      <c r="E98" s="55">
        <v>53.4</v>
      </c>
      <c r="F98" s="78">
        <v>0.1</v>
      </c>
      <c r="G98" s="37"/>
      <c r="H98" s="120">
        <f t="shared" si="3"/>
        <v>0</v>
      </c>
    </row>
    <row r="99" spans="1:8" x14ac:dyDescent="0.2">
      <c r="A99" s="36" t="str">
        <f>"9781405087308"</f>
        <v>9781405087308</v>
      </c>
      <c r="B99" s="37" t="str">
        <f>"MR PRE-INT Romeo and Juliet"</f>
        <v>MR PRE-INT Romeo and Juliet</v>
      </c>
      <c r="C99" s="158">
        <v>4</v>
      </c>
      <c r="D99" s="158" t="s">
        <v>130</v>
      </c>
      <c r="E99" s="55">
        <v>53.4</v>
      </c>
      <c r="F99" s="78">
        <v>0.1</v>
      </c>
      <c r="G99" s="37"/>
      <c r="H99" s="120">
        <f t="shared" si="3"/>
        <v>0</v>
      </c>
    </row>
    <row r="100" spans="1:8" x14ac:dyDescent="0.2">
      <c r="A100" s="36" t="str">
        <f>"9780230034426"</f>
        <v>9780230034426</v>
      </c>
      <c r="B100" s="37" t="str">
        <f>"MR Pre-Int Secret Garden"</f>
        <v>MR Pre-Int Secret Garden</v>
      </c>
      <c r="C100" s="158">
        <v>4</v>
      </c>
      <c r="D100" s="158" t="s">
        <v>130</v>
      </c>
      <c r="E100" s="55">
        <v>53.4</v>
      </c>
      <c r="F100" s="78">
        <v>0.1</v>
      </c>
      <c r="G100" s="37"/>
      <c r="H100" s="120">
        <f t="shared" si="3"/>
        <v>0</v>
      </c>
    </row>
    <row r="101" spans="1:8" x14ac:dyDescent="0.2">
      <c r="A101" s="36" t="str">
        <f>"9780230722637"</f>
        <v>9780230722637</v>
      </c>
      <c r="B101" s="37" t="str">
        <f>"MR Pre-INT Shake Hands Forever"</f>
        <v>MR Pre-INT Shake Hands Forever</v>
      </c>
      <c r="C101" s="158">
        <v>4</v>
      </c>
      <c r="D101" s="158" t="s">
        <v>130</v>
      </c>
      <c r="E101" s="55">
        <v>53.4</v>
      </c>
      <c r="F101" s="78">
        <v>0.1</v>
      </c>
      <c r="G101" s="37"/>
      <c r="H101" s="120">
        <f t="shared" si="3"/>
        <v>0</v>
      </c>
    </row>
    <row r="102" spans="1:8" x14ac:dyDescent="0.2">
      <c r="A102" s="36" t="str">
        <f>"9780230422223"</f>
        <v>9780230422223</v>
      </c>
      <c r="B102" s="37" t="str">
        <f>"MR PRE-INT Story of the Olympics: An Un"</f>
        <v>MR PRE-INT Story of the Olympics: An Un</v>
      </c>
      <c r="C102" s="158">
        <v>4</v>
      </c>
      <c r="D102" s="158" t="s">
        <v>130</v>
      </c>
      <c r="E102" s="55">
        <v>53.4</v>
      </c>
      <c r="F102" s="78">
        <v>0.1</v>
      </c>
      <c r="G102" s="37"/>
      <c r="H102" s="120">
        <f t="shared" si="3"/>
        <v>0</v>
      </c>
    </row>
    <row r="103" spans="1:8" ht="15" thickBot="1" x14ac:dyDescent="0.25">
      <c r="A103" s="38" t="str">
        <f>"9780230030503"</f>
        <v>9780230030503</v>
      </c>
      <c r="B103" s="39" t="str">
        <f>"MR Pre-Int Wizard of Oz"</f>
        <v>MR Pre-Int Wizard of Oz</v>
      </c>
      <c r="C103" s="159">
        <v>4</v>
      </c>
      <c r="D103" s="158" t="s">
        <v>130</v>
      </c>
      <c r="E103" s="55">
        <v>53.4</v>
      </c>
      <c r="F103" s="78">
        <v>0.1</v>
      </c>
      <c r="G103" s="39"/>
      <c r="H103" s="121">
        <f t="shared" si="3"/>
        <v>0</v>
      </c>
    </row>
    <row r="104" spans="1:8" s="99" customFormat="1" ht="15" thickBot="1" x14ac:dyDescent="0.25">
      <c r="C104" s="153"/>
      <c r="D104" s="153"/>
      <c r="E104" s="106"/>
      <c r="F104" s="105"/>
      <c r="G104" s="95"/>
      <c r="H104" s="98"/>
    </row>
    <row r="105" spans="1:8" ht="15" x14ac:dyDescent="0.25">
      <c r="A105" s="277" t="s">
        <v>115</v>
      </c>
      <c r="B105" s="278"/>
      <c r="C105" s="160"/>
      <c r="D105" s="160"/>
      <c r="E105" s="56"/>
      <c r="F105" s="79"/>
      <c r="G105" s="40"/>
      <c r="H105" s="118"/>
    </row>
    <row r="106" spans="1:8" x14ac:dyDescent="0.2">
      <c r="A106" s="41" t="str">
        <f>"9780230731202"</f>
        <v>9780230731202</v>
      </c>
      <c r="B106" s="42" t="str">
        <f>"MR INT Bridget Jones's Diary"</f>
        <v>MR INT Bridget Jones's Diary</v>
      </c>
      <c r="C106" s="161">
        <v>5</v>
      </c>
      <c r="D106" s="161" t="s">
        <v>1</v>
      </c>
      <c r="E106" s="57">
        <v>58</v>
      </c>
      <c r="F106" s="80">
        <v>0.1</v>
      </c>
      <c r="G106" s="42"/>
      <c r="H106" s="119">
        <f>IF(G106&gt;0,(E106*G106)-(F106*E106),0)</f>
        <v>0</v>
      </c>
    </row>
    <row r="107" spans="1:8" x14ac:dyDescent="0.2">
      <c r="A107" s="41" t="str">
        <f>"9780230400221"</f>
        <v>9780230400221</v>
      </c>
      <c r="B107" s="42" t="str">
        <f>"MR INT Bridget Jones: The Edge of Reason"</f>
        <v>MR INT Bridget Jones: The Edge of Reason</v>
      </c>
      <c r="C107" s="161">
        <v>5</v>
      </c>
      <c r="D107" s="161" t="s">
        <v>1</v>
      </c>
      <c r="E107" s="57">
        <v>58</v>
      </c>
      <c r="F107" s="80">
        <v>0.1</v>
      </c>
      <c r="G107" s="42"/>
      <c r="H107" s="119">
        <f t="shared" ref="H107:H148" si="4">IF(G107&gt;0,(E107*G107)-(F107*E107),0)</f>
        <v>0</v>
      </c>
    </row>
    <row r="108" spans="1:8" x14ac:dyDescent="0.2">
      <c r="A108" s="41" t="str">
        <f>"9780230035195"</f>
        <v>9780230035195</v>
      </c>
      <c r="B108" s="42" t="str">
        <f>"MR INT Bristol Murder"</f>
        <v>MR INT Bristol Murder</v>
      </c>
      <c r="C108" s="161">
        <v>5</v>
      </c>
      <c r="D108" s="161" t="s">
        <v>1</v>
      </c>
      <c r="E108" s="57">
        <v>58</v>
      </c>
      <c r="F108" s="80">
        <v>0.1</v>
      </c>
      <c r="G108" s="42"/>
      <c r="H108" s="119">
        <f t="shared" si="4"/>
        <v>0</v>
      </c>
    </row>
    <row r="109" spans="1:8" x14ac:dyDescent="0.2">
      <c r="A109" s="41" t="str">
        <f>"9780230026759"</f>
        <v>9780230026759</v>
      </c>
      <c r="B109" s="42" t="str">
        <f>"MR INT David Copperfield"</f>
        <v>MR INT David Copperfield</v>
      </c>
      <c r="C109" s="161">
        <v>5</v>
      </c>
      <c r="D109" s="161" t="s">
        <v>1</v>
      </c>
      <c r="E109" s="57">
        <v>58</v>
      </c>
      <c r="F109" s="80">
        <v>0.1</v>
      </c>
      <c r="G109" s="42"/>
      <c r="H109" s="119">
        <f t="shared" si="4"/>
        <v>0</v>
      </c>
    </row>
    <row r="110" spans="1:8" x14ac:dyDescent="0.2">
      <c r="A110" s="41" t="str">
        <f>"9780230408678"</f>
        <v>9780230408678</v>
      </c>
      <c r="B110" s="42" t="str">
        <f>"MR INT Down Second Avenue"</f>
        <v>MR INT Down Second Avenue</v>
      </c>
      <c r="C110" s="161">
        <v>5</v>
      </c>
      <c r="D110" s="161" t="s">
        <v>1</v>
      </c>
      <c r="E110" s="57">
        <v>58</v>
      </c>
      <c r="F110" s="80">
        <v>0.1</v>
      </c>
      <c r="G110" s="42"/>
      <c r="H110" s="119">
        <f t="shared" si="4"/>
        <v>0</v>
      </c>
    </row>
    <row r="111" spans="1:8" x14ac:dyDescent="0.2">
      <c r="A111" s="41" t="str">
        <f>"9780230035263"</f>
        <v>9780230035263</v>
      </c>
      <c r="B111" s="42" t="str">
        <f>"MR INT Dr No"</f>
        <v>MR INT Dr No</v>
      </c>
      <c r="C111" s="161">
        <v>5</v>
      </c>
      <c r="D111" s="161" t="s">
        <v>1</v>
      </c>
      <c r="E111" s="57">
        <v>58</v>
      </c>
      <c r="F111" s="80">
        <v>0.1</v>
      </c>
      <c r="G111" s="42"/>
      <c r="H111" s="119">
        <f t="shared" si="4"/>
        <v>0</v>
      </c>
    </row>
    <row r="112" spans="1:8" x14ac:dyDescent="0.2">
      <c r="A112" s="41" t="str">
        <f>"9780230035270"</f>
        <v>9780230035270</v>
      </c>
      <c r="B112" s="42" t="str">
        <f>"MR INT Emma"</f>
        <v>MR INT Emma</v>
      </c>
      <c r="C112" s="161">
        <v>5</v>
      </c>
      <c r="D112" s="161" t="s">
        <v>1</v>
      </c>
      <c r="E112" s="57">
        <v>58</v>
      </c>
      <c r="F112" s="80">
        <v>0.1</v>
      </c>
      <c r="G112" s="42"/>
      <c r="H112" s="119">
        <f t="shared" si="4"/>
        <v>0</v>
      </c>
    </row>
    <row r="113" spans="1:8" x14ac:dyDescent="0.2">
      <c r="A113" s="41" t="str">
        <f>"9781405072939"</f>
        <v>9781405072939</v>
      </c>
      <c r="B113" s="42" t="str">
        <f>"MR INT Eye of the Tiger"</f>
        <v>MR INT Eye of the Tiger</v>
      </c>
      <c r="C113" s="161">
        <v>5</v>
      </c>
      <c r="D113" s="161" t="s">
        <v>1</v>
      </c>
      <c r="E113" s="57">
        <v>58</v>
      </c>
      <c r="F113" s="80">
        <v>0.1</v>
      </c>
      <c r="G113" s="42"/>
      <c r="H113" s="119">
        <f t="shared" si="4"/>
        <v>0</v>
      </c>
    </row>
    <row r="114" spans="1:8" x14ac:dyDescent="0.2">
      <c r="A114" s="41" t="str">
        <f>"9780230035294"</f>
        <v>9780230035294</v>
      </c>
      <c r="B114" s="42" t="str">
        <f>"MR INT Goldfinger"</f>
        <v>MR INT Goldfinger</v>
      </c>
      <c r="C114" s="161">
        <v>5</v>
      </c>
      <c r="D114" s="161" t="s">
        <v>1</v>
      </c>
      <c r="E114" s="57">
        <v>58</v>
      </c>
      <c r="F114" s="80">
        <v>0.1</v>
      </c>
      <c r="G114" s="42"/>
      <c r="H114" s="119">
        <f t="shared" si="4"/>
        <v>0</v>
      </c>
    </row>
    <row r="115" spans="1:8" x14ac:dyDescent="0.2">
      <c r="A115" s="41" t="str">
        <f>"9780230035287"</f>
        <v>9780230035287</v>
      </c>
      <c r="B115" s="42" t="str">
        <f>"MR INT Great Gatsby"</f>
        <v>MR INT Great Gatsby</v>
      </c>
      <c r="C115" s="161">
        <v>5</v>
      </c>
      <c r="D115" s="161" t="s">
        <v>1</v>
      </c>
      <c r="E115" s="57">
        <v>58</v>
      </c>
      <c r="F115" s="80">
        <v>0.1</v>
      </c>
      <c r="G115" s="42"/>
      <c r="H115" s="119">
        <f t="shared" si="4"/>
        <v>0</v>
      </c>
    </row>
    <row r="116" spans="1:8" x14ac:dyDescent="0.2">
      <c r="A116" s="41" t="str">
        <f>"9780230716636"</f>
        <v>9780230716636</v>
      </c>
      <c r="B116" s="42" t="str">
        <f>"MR INT Hamlet"</f>
        <v>MR INT Hamlet</v>
      </c>
      <c r="C116" s="161">
        <v>5</v>
      </c>
      <c r="D116" s="161" t="s">
        <v>1</v>
      </c>
      <c r="E116" s="57">
        <v>58</v>
      </c>
      <c r="F116" s="80">
        <v>0.1</v>
      </c>
      <c r="G116" s="42"/>
      <c r="H116" s="119">
        <f t="shared" si="4"/>
        <v>0</v>
      </c>
    </row>
    <row r="117" spans="1:8" x14ac:dyDescent="0.2">
      <c r="A117" s="41" t="str">
        <f>"9780230408449"</f>
        <v>9780230408449</v>
      </c>
      <c r="B117" s="42" t="str">
        <f>"MR INT Imprtance of Being Earnest"</f>
        <v>MR INT Imprtance of Being Earnest</v>
      </c>
      <c r="C117" s="161">
        <v>5</v>
      </c>
      <c r="D117" s="161" t="s">
        <v>1</v>
      </c>
      <c r="E117" s="57">
        <v>58</v>
      </c>
      <c r="F117" s="80">
        <v>0.1</v>
      </c>
      <c r="G117" s="42"/>
      <c r="H117" s="119">
        <f t="shared" si="4"/>
        <v>0</v>
      </c>
    </row>
    <row r="118" spans="1:8" x14ac:dyDescent="0.2">
      <c r="A118" s="41" t="str">
        <f>"9780230034440"</f>
        <v>9780230034440</v>
      </c>
      <c r="B118" s="42" t="str">
        <f>"MR INT King Arthur and the Knights of the Round"</f>
        <v>MR INT King Arthur and the Knights of the Round</v>
      </c>
      <c r="C118" s="161">
        <v>5</v>
      </c>
      <c r="D118" s="161" t="s">
        <v>1</v>
      </c>
      <c r="E118" s="57">
        <v>58</v>
      </c>
      <c r="F118" s="80">
        <v>0.1</v>
      </c>
      <c r="G118" s="42"/>
      <c r="H118" s="119">
        <f t="shared" si="4"/>
        <v>0</v>
      </c>
    </row>
    <row r="119" spans="1:8" x14ac:dyDescent="0.2">
      <c r="A119" s="41" t="str">
        <f>"9781405057783"</f>
        <v>9781405057783</v>
      </c>
      <c r="B119" s="42" t="str">
        <f>"MR INT L is for Lawless"</f>
        <v>MR INT L is for Lawless</v>
      </c>
      <c r="C119" s="161">
        <v>5</v>
      </c>
      <c r="D119" s="161" t="s">
        <v>1</v>
      </c>
      <c r="E119" s="57">
        <v>58</v>
      </c>
      <c r="F119" s="80">
        <v>0.1</v>
      </c>
      <c r="G119" s="42"/>
      <c r="H119" s="119">
        <f t="shared" si="4"/>
        <v>0</v>
      </c>
    </row>
    <row r="120" spans="1:8" x14ac:dyDescent="0.2">
      <c r="A120" s="41" t="str">
        <f>"9780230735071"</f>
        <v>9780230735071</v>
      </c>
      <c r="B120" s="42" t="str">
        <f>"MR INT Live and Let Die"</f>
        <v>MR INT Live and Let Die</v>
      </c>
      <c r="C120" s="161">
        <v>5</v>
      </c>
      <c r="D120" s="161" t="s">
        <v>1</v>
      </c>
      <c r="E120" s="57">
        <v>58</v>
      </c>
      <c r="F120" s="80">
        <v>0.1</v>
      </c>
      <c r="G120" s="42"/>
      <c r="H120" s="119">
        <f t="shared" si="4"/>
        <v>0</v>
      </c>
    </row>
    <row r="121" spans="1:8" x14ac:dyDescent="0.2">
      <c r="A121" s="41" t="str">
        <f>"9780230030442"</f>
        <v>9780230030442</v>
      </c>
      <c r="B121" s="42" t="str">
        <f>"MR INT Meet me in Istanbul"</f>
        <v>MR INT Meet me in Istanbul</v>
      </c>
      <c r="C121" s="161">
        <v>5</v>
      </c>
      <c r="D121" s="161" t="s">
        <v>1</v>
      </c>
      <c r="E121" s="57">
        <v>58</v>
      </c>
      <c r="F121" s="80">
        <v>0.1</v>
      </c>
      <c r="G121" s="42"/>
      <c r="H121" s="119">
        <f t="shared" si="4"/>
        <v>0</v>
      </c>
    </row>
    <row r="122" spans="1:8" x14ac:dyDescent="0.2">
      <c r="A122" s="41" t="str">
        <f>"9780230716643"</f>
        <v>9780230716643</v>
      </c>
      <c r="B122" s="42" t="str">
        <f>"MR INT Merchant of Venice"</f>
        <v>MR INT Merchant of Venice</v>
      </c>
      <c r="C122" s="161">
        <v>5</v>
      </c>
      <c r="D122" s="161" t="s">
        <v>1</v>
      </c>
      <c r="E122" s="57">
        <v>58</v>
      </c>
      <c r="F122" s="80">
        <v>0.1</v>
      </c>
      <c r="G122" s="42"/>
      <c r="H122" s="119">
        <f t="shared" si="4"/>
        <v>0</v>
      </c>
    </row>
    <row r="123" spans="1:8" x14ac:dyDescent="0.2">
      <c r="A123" s="41" t="str">
        <f>"9780230408593"</f>
        <v>9780230408593</v>
      </c>
      <c r="B123" s="42" t="str">
        <f>"MR INT Much Ado About Nothing"</f>
        <v>MR INT Much Ado About Nothing</v>
      </c>
      <c r="C123" s="161">
        <v>5</v>
      </c>
      <c r="D123" s="161" t="s">
        <v>1</v>
      </c>
      <c r="E123" s="57">
        <v>58</v>
      </c>
      <c r="F123" s="80">
        <v>0.1</v>
      </c>
      <c r="G123" s="42"/>
      <c r="H123" s="119">
        <f t="shared" si="4"/>
        <v>0</v>
      </c>
    </row>
    <row r="124" spans="1:8" x14ac:dyDescent="0.2">
      <c r="A124" s="41" t="str">
        <f>"9780230035317"</f>
        <v>9780230035317</v>
      </c>
      <c r="B124" s="42" t="str">
        <f>"MR INT My Cousin Rachel"</f>
        <v>MR INT My Cousin Rachel</v>
      </c>
      <c r="C124" s="161">
        <v>5</v>
      </c>
      <c r="D124" s="161" t="s">
        <v>1</v>
      </c>
      <c r="E124" s="57">
        <v>58</v>
      </c>
      <c r="F124" s="80">
        <v>0.1</v>
      </c>
      <c r="G124" s="42"/>
      <c r="H124" s="119">
        <f t="shared" si="4"/>
        <v>0</v>
      </c>
    </row>
    <row r="125" spans="1:8" x14ac:dyDescent="0.2">
      <c r="A125" s="41" t="str">
        <f>"9780230436466"</f>
        <v>9780230436466</v>
      </c>
      <c r="B125" s="42" t="str">
        <f>"MR INT Norwood Builder and other stories, The"</f>
        <v>MR INT Norwood Builder and other stories, The</v>
      </c>
      <c r="C125" s="161">
        <v>5</v>
      </c>
      <c r="D125" s="161" t="s">
        <v>1</v>
      </c>
      <c r="E125" s="57">
        <v>74</v>
      </c>
      <c r="F125" s="80">
        <v>0.1</v>
      </c>
      <c r="G125" s="42"/>
      <c r="H125" s="119">
        <f t="shared" si="4"/>
        <v>0</v>
      </c>
    </row>
    <row r="126" spans="1:8" x14ac:dyDescent="0.2">
      <c r="A126" s="41" t="str">
        <f>"9780230030459"</f>
        <v>9780230030459</v>
      </c>
      <c r="B126" s="42" t="str">
        <f>"MR INT Oliver Twist"</f>
        <v>MR INT Oliver Twist</v>
      </c>
      <c r="C126" s="161">
        <v>5</v>
      </c>
      <c r="D126" s="161" t="s">
        <v>1</v>
      </c>
      <c r="E126" s="57">
        <v>58</v>
      </c>
      <c r="F126" s="80">
        <v>0.1</v>
      </c>
      <c r="G126" s="42"/>
      <c r="H126" s="119">
        <f t="shared" si="4"/>
        <v>0</v>
      </c>
    </row>
    <row r="127" spans="1:8" x14ac:dyDescent="0.2">
      <c r="A127" s="41" t="str">
        <f>"9780230422322"</f>
        <v>9780230422322</v>
      </c>
      <c r="B127" s="42" t="str">
        <f>"MR INT One Day  Reader without Audi"</f>
        <v>MR INT One Day  Reader without Audi</v>
      </c>
      <c r="C127" s="161">
        <v>5</v>
      </c>
      <c r="D127" s="161" t="s">
        <v>1</v>
      </c>
      <c r="E127" s="57">
        <v>58</v>
      </c>
      <c r="F127" s="80">
        <v>0.1</v>
      </c>
      <c r="G127" s="42"/>
      <c r="H127" s="119">
        <f t="shared" si="4"/>
        <v>0</v>
      </c>
    </row>
    <row r="128" spans="1:8" x14ac:dyDescent="0.2">
      <c r="A128" s="41" t="str">
        <f>"9781405073011"</f>
        <v>9781405073011</v>
      </c>
      <c r="B128" s="42" t="str">
        <f>"MR INT Pride and Prejudice"</f>
        <v>MR INT Pride and Prejudice</v>
      </c>
      <c r="C128" s="161">
        <v>5</v>
      </c>
      <c r="D128" s="161" t="s">
        <v>1</v>
      </c>
      <c r="E128" s="57">
        <v>58</v>
      </c>
      <c r="F128" s="80">
        <v>0.1</v>
      </c>
      <c r="G128" s="42"/>
      <c r="H128" s="119">
        <f t="shared" si="4"/>
        <v>0</v>
      </c>
    </row>
    <row r="129" spans="1:8" x14ac:dyDescent="0.2">
      <c r="A129" s="41" t="str">
        <f>"9780230035201"</f>
        <v>9780230035201</v>
      </c>
      <c r="B129" s="42" t="str">
        <f>"MR INT Queen of Death"</f>
        <v>MR INT Queen of Death</v>
      </c>
      <c r="C129" s="161">
        <v>5</v>
      </c>
      <c r="D129" s="161" t="s">
        <v>1</v>
      </c>
      <c r="E129" s="57">
        <v>58</v>
      </c>
      <c r="F129" s="80">
        <v>0.1</v>
      </c>
      <c r="G129" s="42"/>
      <c r="H129" s="119">
        <f t="shared" si="4"/>
        <v>0</v>
      </c>
    </row>
    <row r="130" spans="1:8" x14ac:dyDescent="0.2">
      <c r="A130" s="41" t="str">
        <f>"9781405073042"</f>
        <v>9781405073042</v>
      </c>
      <c r="B130" s="42" t="str">
        <f>"MR INT Ring of Thieves New"</f>
        <v>MR INT Ring of Thieves New</v>
      </c>
      <c r="C130" s="161">
        <v>5</v>
      </c>
      <c r="D130" s="161" t="s">
        <v>1</v>
      </c>
      <c r="E130" s="57">
        <v>58</v>
      </c>
      <c r="F130" s="80">
        <v>0.1</v>
      </c>
      <c r="G130" s="42"/>
      <c r="H130" s="119">
        <f t="shared" si="4"/>
        <v>0</v>
      </c>
    </row>
    <row r="131" spans="1:8" x14ac:dyDescent="0.2">
      <c r="A131" s="41" t="str">
        <f>"9781405073059"</f>
        <v>9781405073059</v>
      </c>
      <c r="B131" s="42" t="str">
        <f>"MR INT River God"</f>
        <v>MR INT River God</v>
      </c>
      <c r="C131" s="161">
        <v>5</v>
      </c>
      <c r="D131" s="161" t="s">
        <v>1</v>
      </c>
      <c r="E131" s="57">
        <v>58</v>
      </c>
      <c r="F131" s="80">
        <v>0.1</v>
      </c>
      <c r="G131" s="42"/>
      <c r="H131" s="119">
        <f t="shared" si="4"/>
        <v>0</v>
      </c>
    </row>
    <row r="132" spans="1:8" x14ac:dyDescent="0.2">
      <c r="A132" s="41" t="str">
        <f>"9780230037526"</f>
        <v>9780230037526</v>
      </c>
      <c r="B132" s="42" t="str">
        <f>"MR INT Sense and Sensibility"</f>
        <v>MR INT Sense and Sensibility</v>
      </c>
      <c r="C132" s="161">
        <v>5</v>
      </c>
      <c r="D132" s="161" t="s">
        <v>1</v>
      </c>
      <c r="E132" s="57">
        <v>58</v>
      </c>
      <c r="F132" s="80">
        <v>0.1</v>
      </c>
      <c r="G132" s="42"/>
      <c r="H132" s="119">
        <f t="shared" si="4"/>
        <v>0</v>
      </c>
    </row>
    <row r="133" spans="1:8" x14ac:dyDescent="0.2">
      <c r="A133" s="41" t="str">
        <f>"9781405073141"</f>
        <v>9781405073141</v>
      </c>
      <c r="B133" s="42" t="str">
        <f>"MR INT Seventh Scroll New"</f>
        <v>MR INT Seventh Scroll New</v>
      </c>
      <c r="C133" s="161">
        <v>5</v>
      </c>
      <c r="D133" s="161" t="s">
        <v>1</v>
      </c>
      <c r="E133" s="57">
        <v>58</v>
      </c>
      <c r="F133" s="80">
        <v>0.1</v>
      </c>
      <c r="G133" s="42"/>
      <c r="H133" s="119">
        <f t="shared" si="4"/>
        <v>0</v>
      </c>
    </row>
    <row r="134" spans="1:8" x14ac:dyDescent="0.2">
      <c r="A134" s="41" t="str">
        <f>"9780230035218"</f>
        <v>9780230035218</v>
      </c>
      <c r="B134" s="42" t="str">
        <f>"MR INT Sign of Four"</f>
        <v>MR INT Sign of Four</v>
      </c>
      <c r="C134" s="161">
        <v>5</v>
      </c>
      <c r="D134" s="161" t="s">
        <v>1</v>
      </c>
      <c r="E134" s="57">
        <v>58</v>
      </c>
      <c r="F134" s="80">
        <v>0.1</v>
      </c>
      <c r="G134" s="42"/>
      <c r="H134" s="119">
        <f t="shared" si="4"/>
        <v>0</v>
      </c>
    </row>
    <row r="135" spans="1:8" x14ac:dyDescent="0.2">
      <c r="A135" s="41" t="str">
        <f>"9781405073073"</f>
        <v>9781405073073</v>
      </c>
      <c r="B135" s="42" t="str">
        <f>"MR INT Silent World Nicholas Q."</f>
        <v>MR INT Silent World Nicholas Q.</v>
      </c>
      <c r="C135" s="161">
        <v>5</v>
      </c>
      <c r="D135" s="161" t="s">
        <v>1</v>
      </c>
      <c r="E135" s="57">
        <v>58</v>
      </c>
      <c r="F135" s="80">
        <v>0.1</v>
      </c>
      <c r="G135" s="42"/>
      <c r="H135" s="119">
        <f t="shared" si="4"/>
        <v>0</v>
      </c>
    </row>
    <row r="136" spans="1:8" x14ac:dyDescent="0.2">
      <c r="A136" s="41" t="str">
        <f>"9780230404700"</f>
        <v>9780230404700</v>
      </c>
      <c r="B136" s="42" t="str">
        <f>"MR INT Slumdog Millionaire"</f>
        <v>MR INT Slumdog Millionaire</v>
      </c>
      <c r="C136" s="161">
        <v>5</v>
      </c>
      <c r="D136" s="161" t="s">
        <v>1</v>
      </c>
      <c r="E136" s="57">
        <v>58</v>
      </c>
      <c r="F136" s="80">
        <v>0.1</v>
      </c>
      <c r="G136" s="42"/>
      <c r="H136" s="119">
        <f t="shared" si="4"/>
        <v>0</v>
      </c>
    </row>
    <row r="137" spans="1:8" x14ac:dyDescent="0.2">
      <c r="A137" s="41" t="str">
        <f>"9780230035225"</f>
        <v>9780230035225</v>
      </c>
      <c r="B137" s="42" t="str">
        <f>"MR INT Smuggler"</f>
        <v>MR INT Smuggler</v>
      </c>
      <c r="C137" s="161">
        <v>5</v>
      </c>
      <c r="D137" s="161" t="s">
        <v>1</v>
      </c>
      <c r="E137" s="57">
        <v>58</v>
      </c>
      <c r="F137" s="80">
        <v>0.1</v>
      </c>
      <c r="G137" s="42"/>
      <c r="H137" s="119">
        <f t="shared" si="4"/>
        <v>0</v>
      </c>
    </row>
    <row r="138" spans="1:8" x14ac:dyDescent="0.2">
      <c r="A138" s="41" t="str">
        <f>"9780230035232"</f>
        <v>9780230035232</v>
      </c>
      <c r="B138" s="42" t="str">
        <f>"MR INT Space invaders"</f>
        <v>MR INT Space invaders</v>
      </c>
      <c r="C138" s="161">
        <v>5</v>
      </c>
      <c r="D138" s="161" t="s">
        <v>1</v>
      </c>
      <c r="E138" s="57">
        <v>58</v>
      </c>
      <c r="F138" s="80">
        <v>0.1</v>
      </c>
      <c r="G138" s="42"/>
      <c r="H138" s="119">
        <f t="shared" si="4"/>
        <v>0</v>
      </c>
    </row>
    <row r="139" spans="1:8" x14ac:dyDescent="0.2">
      <c r="A139" s="41" t="str">
        <f>"9780230030480"</f>
        <v>9780230030480</v>
      </c>
      <c r="B139" s="42" t="str">
        <f>"MR INT Speckled Band and Other Stories"</f>
        <v>MR INT Speckled Band and Other Stories</v>
      </c>
      <c r="C139" s="161">
        <v>5</v>
      </c>
      <c r="D139" s="161" t="s">
        <v>1</v>
      </c>
      <c r="E139" s="57">
        <v>58</v>
      </c>
      <c r="F139" s="80">
        <v>0.1</v>
      </c>
      <c r="G139" s="42"/>
      <c r="H139" s="119">
        <f t="shared" si="4"/>
        <v>0</v>
      </c>
    </row>
    <row r="140" spans="1:8" x14ac:dyDescent="0.2">
      <c r="A140" s="41" t="str">
        <f>"9780230035188"</f>
        <v>9780230035188</v>
      </c>
      <c r="B140" s="42" t="str">
        <f>"MR INT Tenant of Wildfell Hall"</f>
        <v>MR INT Tenant of Wildfell Hall</v>
      </c>
      <c r="C140" s="161">
        <v>5</v>
      </c>
      <c r="D140" s="161" t="s">
        <v>1</v>
      </c>
      <c r="E140" s="57">
        <v>58</v>
      </c>
      <c r="F140" s="80">
        <v>0.1</v>
      </c>
      <c r="G140" s="42"/>
      <c r="H140" s="119">
        <f t="shared" si="4"/>
        <v>0</v>
      </c>
    </row>
    <row r="141" spans="1:8" x14ac:dyDescent="0.2">
      <c r="A141" s="41" t="str">
        <f>"9780230035324"</f>
        <v>9780230035324</v>
      </c>
      <c r="B141" s="42" t="str">
        <f>"MR INT Tess of the D'Urbervilles"</f>
        <v>MR INT Tess of the D'Urbervilles</v>
      </c>
      <c r="C141" s="161">
        <v>5</v>
      </c>
      <c r="D141" s="161" t="s">
        <v>1</v>
      </c>
      <c r="E141" s="57">
        <v>58</v>
      </c>
      <c r="F141" s="80">
        <v>0.1</v>
      </c>
      <c r="G141" s="42"/>
      <c r="H141" s="119">
        <f t="shared" si="4"/>
        <v>0</v>
      </c>
    </row>
    <row r="142" spans="1:8" x14ac:dyDescent="0.2">
      <c r="A142" s="41" t="str">
        <f>"9781405073110"</f>
        <v>9781405073110</v>
      </c>
      <c r="B142" s="42" t="str">
        <f>"MR INT The Jewel That Was Ours"</f>
        <v>MR INT The Jewel That Was Ours</v>
      </c>
      <c r="C142" s="161">
        <v>5</v>
      </c>
      <c r="D142" s="161" t="s">
        <v>1</v>
      </c>
      <c r="E142" s="57">
        <v>58</v>
      </c>
      <c r="F142" s="80">
        <v>0.1</v>
      </c>
      <c r="G142" s="42"/>
      <c r="H142" s="119">
        <f t="shared" si="4"/>
        <v>0</v>
      </c>
    </row>
    <row r="143" spans="1:8" x14ac:dyDescent="0.2">
      <c r="A143" s="41" t="str">
        <f>"9780230031135"</f>
        <v>9780230031135</v>
      </c>
      <c r="B143" s="42" t="str">
        <f>"MR INT The Pearl"</f>
        <v>MR INT The Pearl</v>
      </c>
      <c r="C143" s="161">
        <v>5</v>
      </c>
      <c r="D143" s="161" t="s">
        <v>1</v>
      </c>
      <c r="E143" s="57">
        <v>58</v>
      </c>
      <c r="F143" s="80">
        <v>0.1</v>
      </c>
      <c r="G143" s="42"/>
      <c r="H143" s="119">
        <f t="shared" si="4"/>
        <v>0</v>
      </c>
    </row>
    <row r="144" spans="1:8" x14ac:dyDescent="0.2">
      <c r="A144" s="41" t="str">
        <f>"9781405073127"</f>
        <v>9781405073127</v>
      </c>
      <c r="B144" s="42" t="str">
        <f>"MR INT The Perfect Storm"</f>
        <v>MR INT The Perfect Storm</v>
      </c>
      <c r="C144" s="161">
        <v>5</v>
      </c>
      <c r="D144" s="161" t="s">
        <v>1</v>
      </c>
      <c r="E144" s="57">
        <v>58</v>
      </c>
      <c r="F144" s="80">
        <v>0.1</v>
      </c>
      <c r="G144" s="42"/>
      <c r="H144" s="119">
        <f t="shared" si="4"/>
        <v>0</v>
      </c>
    </row>
    <row r="145" spans="1:8" x14ac:dyDescent="0.2">
      <c r="A145" s="41" t="str">
        <f>"9780230035331"</f>
        <v>9780230035331</v>
      </c>
      <c r="B145" s="42" t="str">
        <f>"MR INT Therese Raquin"</f>
        <v>MR INT Therese Raquin</v>
      </c>
      <c r="C145" s="161">
        <v>5</v>
      </c>
      <c r="D145" s="161" t="s">
        <v>1</v>
      </c>
      <c r="E145" s="57">
        <v>58</v>
      </c>
      <c r="F145" s="80">
        <v>0.1</v>
      </c>
      <c r="G145" s="42"/>
      <c r="H145" s="119">
        <f t="shared" si="4"/>
        <v>0</v>
      </c>
    </row>
    <row r="146" spans="1:8" x14ac:dyDescent="0.2">
      <c r="A146" s="41" t="str">
        <f>"9780230034457"</f>
        <v>9780230034457</v>
      </c>
      <c r="B146" s="42" t="str">
        <f>"MR INT Touching the Void"</f>
        <v>MR INT Touching the Void</v>
      </c>
      <c r="C146" s="161">
        <v>5</v>
      </c>
      <c r="D146" s="161" t="s">
        <v>1</v>
      </c>
      <c r="E146" s="57">
        <v>58</v>
      </c>
      <c r="F146" s="80">
        <v>0.1</v>
      </c>
      <c r="G146" s="42"/>
      <c r="H146" s="119">
        <f t="shared" si="4"/>
        <v>0</v>
      </c>
    </row>
    <row r="147" spans="1:8" x14ac:dyDescent="0.2">
      <c r="A147" s="41" t="str">
        <f>"9781405073196"</f>
        <v>9781405073196</v>
      </c>
      <c r="B147" s="42" t="str">
        <f>"MR INT Woodlanders"</f>
        <v>MR INT Woodlanders</v>
      </c>
      <c r="C147" s="161">
        <v>5</v>
      </c>
      <c r="D147" s="161" t="s">
        <v>1</v>
      </c>
      <c r="E147" s="57">
        <v>58</v>
      </c>
      <c r="F147" s="80">
        <v>0.1</v>
      </c>
      <c r="G147" s="42"/>
      <c r="H147" s="119">
        <f t="shared" si="4"/>
        <v>0</v>
      </c>
    </row>
    <row r="148" spans="1:8" ht="15" thickBot="1" x14ac:dyDescent="0.25">
      <c r="A148" s="43" t="str">
        <f>"9780230035256"</f>
        <v>9780230035256</v>
      </c>
      <c r="B148" s="44" t="str">
        <f>"MR INT Wuthering Heights"</f>
        <v>MR INT Wuthering Heights</v>
      </c>
      <c r="C148" s="162">
        <v>5</v>
      </c>
      <c r="D148" s="162" t="s">
        <v>1</v>
      </c>
      <c r="E148" s="57">
        <v>58</v>
      </c>
      <c r="F148" s="81">
        <v>0.1</v>
      </c>
      <c r="G148" s="44"/>
      <c r="H148" s="119">
        <f t="shared" si="4"/>
        <v>0</v>
      </c>
    </row>
    <row r="149" spans="1:8" s="99" customFormat="1" ht="15" thickBot="1" x14ac:dyDescent="0.25">
      <c r="C149" s="153"/>
      <c r="D149" s="153"/>
      <c r="E149" s="106"/>
      <c r="F149" s="103"/>
      <c r="G149" s="107"/>
      <c r="H149" s="104"/>
    </row>
    <row r="150" spans="1:8" ht="15" x14ac:dyDescent="0.25">
      <c r="A150" s="267" t="s">
        <v>116</v>
      </c>
      <c r="B150" s="268"/>
      <c r="C150" s="253"/>
      <c r="D150" s="253"/>
      <c r="E150" s="254"/>
      <c r="F150" s="255"/>
      <c r="G150" s="3"/>
      <c r="H150" s="94"/>
    </row>
    <row r="151" spans="1:8" x14ac:dyDescent="0.2">
      <c r="A151" s="2" t="str">
        <f>"9781405073219"</f>
        <v>9781405073219</v>
      </c>
      <c r="B151" s="3" t="str">
        <f>"MR UPP INT Bleak House"</f>
        <v>MR UPP INT Bleak House</v>
      </c>
      <c r="C151" s="147">
        <v>6</v>
      </c>
      <c r="D151" s="147" t="s">
        <v>1</v>
      </c>
      <c r="E151" s="46">
        <v>60</v>
      </c>
      <c r="F151" s="70">
        <v>0.1</v>
      </c>
      <c r="G151" s="3"/>
      <c r="H151" s="94">
        <f>IF(G151&gt;0,(E151*G151)-(F151*E151),0)</f>
        <v>0</v>
      </c>
    </row>
    <row r="152" spans="1:8" x14ac:dyDescent="0.2">
      <c r="A152" s="2" t="str">
        <f>"9781405073264"</f>
        <v>9781405073264</v>
      </c>
      <c r="B152" s="3" t="str">
        <f>"MR UPP INT Mine Boy"</f>
        <v>MR UPP INT Mine Boy</v>
      </c>
      <c r="C152" s="147">
        <v>6</v>
      </c>
      <c r="D152" s="147" t="s">
        <v>1</v>
      </c>
      <c r="E152" s="46">
        <v>60</v>
      </c>
      <c r="F152" s="70">
        <v>0.1</v>
      </c>
      <c r="G152" s="3"/>
      <c r="H152" s="94">
        <f t="shared" ref="H152:H168" si="5">IF(G152&gt;0,(E152*G152)-(F152*E152),0)</f>
        <v>0</v>
      </c>
    </row>
    <row r="153" spans="1:8" x14ac:dyDescent="0.2">
      <c r="A153" s="2" t="str">
        <f>"9780230422285"</f>
        <v>9780230422285</v>
      </c>
      <c r="B153" s="3" t="str">
        <f>"MR UPP_INT The Man with the Golden Gun without A"</f>
        <v>MR UPP_INT The Man with the Golden Gun without A</v>
      </c>
      <c r="C153" s="147">
        <v>6</v>
      </c>
      <c r="D153" s="147" t="s">
        <v>1</v>
      </c>
      <c r="E153" s="46">
        <v>60</v>
      </c>
      <c r="F153" s="70">
        <v>0.1</v>
      </c>
      <c r="G153" s="3"/>
      <c r="H153" s="94">
        <f t="shared" si="5"/>
        <v>0</v>
      </c>
    </row>
    <row r="154" spans="1:8" x14ac:dyDescent="0.2">
      <c r="A154" s="2" t="str">
        <f>"9780230026872"</f>
        <v>9780230026872</v>
      </c>
      <c r="B154" s="3" t="str">
        <f>"MR Upper Moby Dick"</f>
        <v>MR Upper Moby Dick</v>
      </c>
      <c r="C154" s="147">
        <v>6</v>
      </c>
      <c r="D154" s="147" t="s">
        <v>1</v>
      </c>
      <c r="E154" s="46">
        <v>60</v>
      </c>
      <c r="F154" s="70">
        <v>0.1</v>
      </c>
      <c r="G154" s="3"/>
      <c r="H154" s="94">
        <f t="shared" si="5"/>
        <v>0</v>
      </c>
    </row>
    <row r="155" spans="1:8" x14ac:dyDescent="0.2">
      <c r="A155" s="2" t="str">
        <f>"9781405087247"</f>
        <v>9781405087247</v>
      </c>
      <c r="B155" s="3" t="str">
        <f>"MR UPP-INT Anna Karenina"</f>
        <v>MR UPP-INT Anna Karenina</v>
      </c>
      <c r="C155" s="147">
        <v>6</v>
      </c>
      <c r="D155" s="147" t="s">
        <v>1</v>
      </c>
      <c r="E155" s="46">
        <v>60</v>
      </c>
      <c r="F155" s="70">
        <v>0.1</v>
      </c>
      <c r="G155" s="3"/>
      <c r="H155" s="94">
        <f t="shared" si="5"/>
        <v>0</v>
      </c>
    </row>
    <row r="156" spans="1:8" x14ac:dyDescent="0.2">
      <c r="A156" s="2" t="str">
        <f>"9781405073226"</f>
        <v>9781405073226</v>
      </c>
      <c r="B156" s="3" t="str">
        <f>"MR UPP-INT Creative Impulse"</f>
        <v>MR UPP-INT Creative Impulse</v>
      </c>
      <c r="C156" s="147">
        <v>6</v>
      </c>
      <c r="D156" s="147" t="s">
        <v>1</v>
      </c>
      <c r="E156" s="46">
        <v>60</v>
      </c>
      <c r="F156" s="70">
        <v>0.1</v>
      </c>
      <c r="G156" s="3"/>
      <c r="H156" s="94">
        <f t="shared" si="5"/>
        <v>0</v>
      </c>
    </row>
    <row r="157" spans="1:8" x14ac:dyDescent="0.2">
      <c r="A157" s="2" t="str">
        <f>"9781405073233"</f>
        <v>9781405073233</v>
      </c>
      <c r="B157" s="3" t="str">
        <f>"MR UPP-INT Cut Glass Bowl &amp; Oth"</f>
        <v>MR UPP-INT Cut Glass Bowl &amp; Oth</v>
      </c>
      <c r="C157" s="147">
        <v>6</v>
      </c>
      <c r="D157" s="147" t="s">
        <v>1</v>
      </c>
      <c r="E157" s="46">
        <v>60</v>
      </c>
      <c r="F157" s="70">
        <v>0.1</v>
      </c>
      <c r="G157" s="3"/>
      <c r="H157" s="94">
        <f t="shared" si="5"/>
        <v>0</v>
      </c>
    </row>
    <row r="158" spans="1:8" x14ac:dyDescent="0.2">
      <c r="A158" s="2" t="str">
        <f>"9780230030565"</f>
        <v>9780230030565</v>
      </c>
      <c r="B158" s="3" t="str">
        <f>"MR Upp-Int Great Expectation"</f>
        <v>MR Upp-Int Great Expectation</v>
      </c>
      <c r="C158" s="147">
        <v>6</v>
      </c>
      <c r="D158" s="147" t="s">
        <v>1</v>
      </c>
      <c r="E158" s="46">
        <v>60</v>
      </c>
      <c r="F158" s="70">
        <v>0.1</v>
      </c>
      <c r="G158" s="3"/>
      <c r="H158" s="94">
        <f t="shared" si="5"/>
        <v>0</v>
      </c>
    </row>
    <row r="159" spans="1:8" x14ac:dyDescent="0.2">
      <c r="A159" s="2" t="str">
        <f>"9780230030558"</f>
        <v>9780230030558</v>
      </c>
      <c r="B159" s="3" t="str">
        <f>"MR Upp-Int L.A. Movie"</f>
        <v>MR Upp-Int L.A. Movie</v>
      </c>
      <c r="C159" s="147">
        <v>6</v>
      </c>
      <c r="D159" s="147" t="s">
        <v>1</v>
      </c>
      <c r="E159" s="46">
        <v>60</v>
      </c>
      <c r="F159" s="70">
        <v>0.1</v>
      </c>
      <c r="G159" s="3"/>
      <c r="H159" s="94">
        <f t="shared" si="5"/>
        <v>0</v>
      </c>
    </row>
    <row r="160" spans="1:8" x14ac:dyDescent="0.2">
      <c r="A160" s="2" t="str">
        <f>"9780230402218"</f>
        <v>9780230402218</v>
      </c>
      <c r="B160" s="3" t="str">
        <f>"MR UPP-INT Macbeth"</f>
        <v>MR UPP-INT Macbeth</v>
      </c>
      <c r="C160" s="147">
        <v>6</v>
      </c>
      <c r="D160" s="147" t="s">
        <v>1</v>
      </c>
      <c r="E160" s="46">
        <v>60</v>
      </c>
      <c r="F160" s="70">
        <v>0.1</v>
      </c>
      <c r="G160" s="3"/>
      <c r="H160" s="94">
        <f t="shared" si="5"/>
        <v>0</v>
      </c>
    </row>
    <row r="161" spans="1:8" x14ac:dyDescent="0.2">
      <c r="A161" s="2" t="str">
        <f>"9780230026865"</f>
        <v>9780230026865</v>
      </c>
      <c r="B161" s="3" t="str">
        <f>"MR Upp-Int Middlemarch"</f>
        <v>MR Upp-Int Middlemarch</v>
      </c>
      <c r="C161" s="147">
        <v>6</v>
      </c>
      <c r="D161" s="147" t="s">
        <v>1</v>
      </c>
      <c r="E161" s="46">
        <v>60</v>
      </c>
      <c r="F161" s="70">
        <v>0.1</v>
      </c>
      <c r="G161" s="3"/>
      <c r="H161" s="94">
        <f t="shared" si="5"/>
        <v>0</v>
      </c>
    </row>
    <row r="162" spans="1:8" x14ac:dyDescent="0.2">
      <c r="A162" s="2" t="str">
        <f>"9781405073271"</f>
        <v>9781405073271</v>
      </c>
      <c r="B162" s="3" t="str">
        <f>"MR UPP-INT Mistress of Spices"</f>
        <v>MR UPP-INT Mistress of Spices</v>
      </c>
      <c r="C162" s="147">
        <v>6</v>
      </c>
      <c r="D162" s="147" t="s">
        <v>1</v>
      </c>
      <c r="E162" s="46">
        <v>60</v>
      </c>
      <c r="F162" s="70">
        <v>0.1</v>
      </c>
      <c r="G162" s="3"/>
      <c r="H162" s="94">
        <f t="shared" si="5"/>
        <v>0</v>
      </c>
    </row>
    <row r="163" spans="1:8" x14ac:dyDescent="0.2">
      <c r="A163" s="2" t="str">
        <f>"9780230031067"</f>
        <v>9780230031067</v>
      </c>
      <c r="B163" s="3" t="str">
        <f>"MR Upp-Int Of Mice and Men"</f>
        <v>MR Upp-Int Of Mice and Men</v>
      </c>
      <c r="C163" s="147">
        <v>6</v>
      </c>
      <c r="D163" s="147" t="s">
        <v>1</v>
      </c>
      <c r="E163" s="46">
        <v>60</v>
      </c>
      <c r="F163" s="70">
        <v>0.1</v>
      </c>
      <c r="G163" s="3"/>
      <c r="H163" s="94">
        <f t="shared" si="5"/>
        <v>0</v>
      </c>
    </row>
    <row r="164" spans="1:8" x14ac:dyDescent="0.2">
      <c r="A164" s="2" t="str">
        <f>"9780230030534"</f>
        <v>9780230030534</v>
      </c>
      <c r="B164" s="3" t="str">
        <f>"MR Upp-Int Officially Dead"</f>
        <v>MR Upp-Int Officially Dead</v>
      </c>
      <c r="C164" s="147">
        <v>6</v>
      </c>
      <c r="D164" s="147" t="s">
        <v>1</v>
      </c>
      <c r="E164" s="46">
        <v>60</v>
      </c>
      <c r="F164" s="70">
        <v>0.1</v>
      </c>
      <c r="G164" s="3"/>
      <c r="H164" s="94">
        <f t="shared" si="5"/>
        <v>0</v>
      </c>
    </row>
    <row r="165" spans="1:8" x14ac:dyDescent="0.2">
      <c r="A165" s="2" t="str">
        <f>"9781405073295"</f>
        <v>9781405073295</v>
      </c>
      <c r="B165" s="3" t="str">
        <f>"MR UPP-INT Our Mutual Friend"</f>
        <v>MR UPP-INT Our Mutual Friend</v>
      </c>
      <c r="C165" s="147">
        <v>6</v>
      </c>
      <c r="D165" s="147" t="s">
        <v>1</v>
      </c>
      <c r="E165" s="46">
        <v>60</v>
      </c>
      <c r="F165" s="70">
        <v>0.1</v>
      </c>
      <c r="G165" s="3"/>
      <c r="H165" s="94">
        <f t="shared" si="5"/>
        <v>0</v>
      </c>
    </row>
    <row r="166" spans="1:8" x14ac:dyDescent="0.2">
      <c r="A166" s="2" t="str">
        <f>"9780230030541"</f>
        <v>9780230030541</v>
      </c>
      <c r="B166" s="3" t="str">
        <f>"MR Upp-Int Rebecca"</f>
        <v>MR Upp-Int Rebecca</v>
      </c>
      <c r="C166" s="147">
        <v>6</v>
      </c>
      <c r="D166" s="147" t="s">
        <v>1</v>
      </c>
      <c r="E166" s="46">
        <v>60</v>
      </c>
      <c r="F166" s="70">
        <v>0.1</v>
      </c>
      <c r="G166" s="3"/>
      <c r="H166" s="94">
        <f t="shared" si="5"/>
        <v>0</v>
      </c>
    </row>
    <row r="167" spans="1:8" x14ac:dyDescent="0.2">
      <c r="A167" s="2" t="str">
        <f>"9781405083928"</f>
        <v>9781405083928</v>
      </c>
      <c r="B167" s="3" t="str">
        <f>"MR UPP-INT Vanity Fair"</f>
        <v>MR UPP-INT Vanity Fair</v>
      </c>
      <c r="C167" s="147">
        <v>6</v>
      </c>
      <c r="D167" s="147" t="s">
        <v>1</v>
      </c>
      <c r="E167" s="46">
        <v>60</v>
      </c>
      <c r="F167" s="70">
        <v>0.1</v>
      </c>
      <c r="G167" s="3"/>
      <c r="H167" s="94">
        <f t="shared" si="5"/>
        <v>0</v>
      </c>
    </row>
    <row r="168" spans="1:8" ht="15" thickBot="1" x14ac:dyDescent="0.25">
      <c r="A168" s="4" t="str">
        <f>"9781405073318"</f>
        <v>9781405073318</v>
      </c>
      <c r="B168" s="5" t="str">
        <f>"MR UPP-INT Weep Not Child"</f>
        <v>MR UPP-INT Weep Not Child</v>
      </c>
      <c r="C168" s="148">
        <v>6</v>
      </c>
      <c r="D168" s="148" t="s">
        <v>1</v>
      </c>
      <c r="E168" s="47">
        <v>60</v>
      </c>
      <c r="F168" s="71">
        <v>0.1</v>
      </c>
      <c r="G168" s="5"/>
      <c r="H168" s="252">
        <f t="shared" si="5"/>
        <v>0</v>
      </c>
    </row>
    <row r="169" spans="1:8" s="99" customFormat="1" ht="15" thickBot="1" x14ac:dyDescent="0.25">
      <c r="C169" s="153"/>
      <c r="D169" s="153"/>
      <c r="E169" s="102"/>
      <c r="F169" s="103"/>
      <c r="G169" s="107"/>
      <c r="H169" s="98"/>
    </row>
    <row r="170" spans="1:8" x14ac:dyDescent="0.2">
      <c r="A170" s="261" t="s">
        <v>120</v>
      </c>
      <c r="B170" s="262"/>
      <c r="C170" s="163"/>
      <c r="D170" s="163"/>
      <c r="E170" s="59"/>
      <c r="F170" s="83"/>
      <c r="G170" s="178"/>
      <c r="H170" s="116"/>
    </row>
    <row r="171" spans="1:8" x14ac:dyDescent="0.2">
      <c r="A171" s="263"/>
      <c r="B171" s="264"/>
      <c r="C171" s="164"/>
      <c r="D171" s="164"/>
      <c r="E171" s="60"/>
      <c r="F171" s="84"/>
      <c r="G171" s="8"/>
      <c r="H171" s="117"/>
    </row>
    <row r="172" spans="1:8" x14ac:dyDescent="0.2">
      <c r="A172" s="123">
        <v>9788131936481</v>
      </c>
      <c r="B172" s="8" t="str">
        <f>"Pegasus Mother Teresa"</f>
        <v>Pegasus Mother Teresa</v>
      </c>
      <c r="C172" s="164"/>
      <c r="D172" s="165" t="s">
        <v>108</v>
      </c>
      <c r="E172" s="60">
        <v>32</v>
      </c>
      <c r="F172" s="84">
        <v>0.1</v>
      </c>
      <c r="G172" s="8"/>
      <c r="H172" s="117">
        <f>IF(G172&gt;0,(E172*G172)-(F172*E172),0)</f>
        <v>0</v>
      </c>
    </row>
    <row r="173" spans="1:8" x14ac:dyDescent="0.2">
      <c r="A173" s="13" t="str">
        <f>"9788131936436"</f>
        <v>9788131936436</v>
      </c>
      <c r="B173" s="8" t="str">
        <f>"Mahatma Gandhi"</f>
        <v>Mahatma Gandhi</v>
      </c>
      <c r="C173" s="164"/>
      <c r="D173" s="165" t="s">
        <v>108</v>
      </c>
      <c r="E173" s="60">
        <v>32</v>
      </c>
      <c r="F173" s="84">
        <v>0.1</v>
      </c>
      <c r="G173" s="8"/>
      <c r="H173" s="117">
        <f t="shared" ref="H173:H187" si="6">IF(G173&gt;0,(E173*G173)-(F173*E173),0)</f>
        <v>0</v>
      </c>
    </row>
    <row r="174" spans="1:8" x14ac:dyDescent="0.2">
      <c r="A174" s="13" t="str">
        <f>"9788131936443"</f>
        <v>9788131936443</v>
      </c>
      <c r="B174" s="8" t="str">
        <f>"Albert Einstein"</f>
        <v>Albert Einstein</v>
      </c>
      <c r="C174" s="164"/>
      <c r="D174" s="165" t="s">
        <v>108</v>
      </c>
      <c r="E174" s="60">
        <v>32</v>
      </c>
      <c r="F174" s="84">
        <v>0.1</v>
      </c>
      <c r="G174" s="8"/>
      <c r="H174" s="117">
        <f t="shared" si="6"/>
        <v>0</v>
      </c>
    </row>
    <row r="175" spans="1:8" x14ac:dyDescent="0.2">
      <c r="A175" s="13" t="str">
        <f>"9788131936450"</f>
        <v>9788131936450</v>
      </c>
      <c r="B175" s="8" t="str">
        <f>"Walt Disney"</f>
        <v>Walt Disney</v>
      </c>
      <c r="C175" s="164"/>
      <c r="D175" s="165" t="s">
        <v>108</v>
      </c>
      <c r="E175" s="60">
        <v>32</v>
      </c>
      <c r="F175" s="84">
        <v>0.1</v>
      </c>
      <c r="G175" s="8"/>
      <c r="H175" s="117">
        <f t="shared" si="6"/>
        <v>0</v>
      </c>
    </row>
    <row r="176" spans="1:8" x14ac:dyDescent="0.2">
      <c r="A176" s="13" t="str">
        <f>"9788131936474"</f>
        <v>9788131936474</v>
      </c>
      <c r="B176" s="8" t="str">
        <f>"Abraham Lincoln"</f>
        <v>Abraham Lincoln</v>
      </c>
      <c r="C176" s="164"/>
      <c r="D176" s="165" t="s">
        <v>108</v>
      </c>
      <c r="E176" s="60">
        <v>32</v>
      </c>
      <c r="F176" s="84">
        <v>0.1</v>
      </c>
      <c r="G176" s="8"/>
      <c r="H176" s="117">
        <f t="shared" si="6"/>
        <v>0</v>
      </c>
    </row>
    <row r="177" spans="1:8" x14ac:dyDescent="0.2">
      <c r="A177" s="13" t="str">
        <f>"9788131936498"</f>
        <v>9788131936498</v>
      </c>
      <c r="B177" s="8" t="str">
        <f>"Neil Armstrong"</f>
        <v>Neil Armstrong</v>
      </c>
      <c r="C177" s="164"/>
      <c r="D177" s="165" t="s">
        <v>108</v>
      </c>
      <c r="E177" s="60">
        <v>32</v>
      </c>
      <c r="F177" s="84">
        <v>0.1</v>
      </c>
      <c r="G177" s="8"/>
      <c r="H177" s="117">
        <f t="shared" si="6"/>
        <v>0</v>
      </c>
    </row>
    <row r="178" spans="1:8" x14ac:dyDescent="0.2">
      <c r="A178" s="13" t="str">
        <f>"9788131936528"</f>
        <v>9788131936528</v>
      </c>
      <c r="B178" s="8" t="str">
        <f>"Barrak Obama"</f>
        <v>Barrak Obama</v>
      </c>
      <c r="C178" s="164"/>
      <c r="D178" s="165" t="s">
        <v>108</v>
      </c>
      <c r="E178" s="60">
        <v>32</v>
      </c>
      <c r="F178" s="84">
        <v>0.1</v>
      </c>
      <c r="G178" s="8"/>
      <c r="H178" s="117">
        <f t="shared" si="6"/>
        <v>0</v>
      </c>
    </row>
    <row r="179" spans="1:8" x14ac:dyDescent="0.2">
      <c r="A179" s="13" t="str">
        <f>"9788131936542"</f>
        <v>9788131936542</v>
      </c>
      <c r="B179" s="8" t="str">
        <f>"Pegasus Bill Gates"</f>
        <v>Pegasus Bill Gates</v>
      </c>
      <c r="C179" s="164"/>
      <c r="D179" s="165" t="s">
        <v>108</v>
      </c>
      <c r="E179" s="60">
        <v>32</v>
      </c>
      <c r="F179" s="84">
        <v>0.1</v>
      </c>
      <c r="G179" s="8"/>
      <c r="H179" s="117">
        <f t="shared" si="6"/>
        <v>0</v>
      </c>
    </row>
    <row r="180" spans="1:8" x14ac:dyDescent="0.2">
      <c r="A180" s="13" t="str">
        <f>"9788131936559"</f>
        <v>9788131936559</v>
      </c>
      <c r="B180" s="8" t="str">
        <f>"Pegasus Anne Frank"</f>
        <v>Pegasus Anne Frank</v>
      </c>
      <c r="C180" s="164"/>
      <c r="D180" s="165" t="s">
        <v>108</v>
      </c>
      <c r="E180" s="60">
        <v>32</v>
      </c>
      <c r="F180" s="84">
        <v>0.1</v>
      </c>
      <c r="G180" s="8"/>
      <c r="H180" s="117">
        <f t="shared" si="6"/>
        <v>0</v>
      </c>
    </row>
    <row r="181" spans="1:8" x14ac:dyDescent="0.2">
      <c r="A181" s="13" t="str">
        <f>"9788131936573"</f>
        <v>9788131936573</v>
      </c>
      <c r="B181" s="8" t="str">
        <f>"Stephen Hawking"</f>
        <v>Stephen Hawking</v>
      </c>
      <c r="C181" s="164"/>
      <c r="D181" s="165" t="s">
        <v>108</v>
      </c>
      <c r="E181" s="60">
        <v>32</v>
      </c>
      <c r="F181" s="84">
        <v>0.1</v>
      </c>
      <c r="G181" s="8"/>
      <c r="H181" s="117">
        <f t="shared" si="6"/>
        <v>0</v>
      </c>
    </row>
    <row r="182" spans="1:8" x14ac:dyDescent="0.2">
      <c r="A182" s="13" t="str">
        <f>"9788131936580"</f>
        <v>9788131936580</v>
      </c>
      <c r="B182" s="8" t="str">
        <f>"Steve Jobs"</f>
        <v>Steve Jobs</v>
      </c>
      <c r="C182" s="164"/>
      <c r="D182" s="165" t="s">
        <v>108</v>
      </c>
      <c r="E182" s="60">
        <v>32</v>
      </c>
      <c r="F182" s="84">
        <v>0.1</v>
      </c>
      <c r="G182" s="8"/>
      <c r="H182" s="117">
        <f t="shared" si="6"/>
        <v>0</v>
      </c>
    </row>
    <row r="183" spans="1:8" x14ac:dyDescent="0.2">
      <c r="A183" s="13" t="str">
        <f>"9788131941256"</f>
        <v>9788131941256</v>
      </c>
      <c r="B183" s="8" t="str">
        <f>"Roger Federer"</f>
        <v>Roger Federer</v>
      </c>
      <c r="C183" s="164"/>
      <c r="D183" s="165" t="s">
        <v>108</v>
      </c>
      <c r="E183" s="60">
        <v>32</v>
      </c>
      <c r="F183" s="84">
        <v>0.1</v>
      </c>
      <c r="G183" s="8"/>
      <c r="H183" s="117">
        <f t="shared" si="6"/>
        <v>0</v>
      </c>
    </row>
    <row r="184" spans="1:8" x14ac:dyDescent="0.2">
      <c r="A184" s="13" t="str">
        <f>"9788131941270"</f>
        <v>9788131941270</v>
      </c>
      <c r="B184" s="8" t="str">
        <f>"Lionel Messi"</f>
        <v>Lionel Messi</v>
      </c>
      <c r="C184" s="164"/>
      <c r="D184" s="165" t="s">
        <v>108</v>
      </c>
      <c r="E184" s="60">
        <v>32</v>
      </c>
      <c r="F184" s="84">
        <v>0.1</v>
      </c>
      <c r="G184" s="8"/>
      <c r="H184" s="117">
        <f t="shared" si="6"/>
        <v>0</v>
      </c>
    </row>
    <row r="185" spans="1:8" x14ac:dyDescent="0.2">
      <c r="A185" s="13" t="str">
        <f>"9788131941287"</f>
        <v>9788131941287</v>
      </c>
      <c r="B185" s="8" t="str">
        <f>"Mark Zukerberg"</f>
        <v>Mark Zukerberg</v>
      </c>
      <c r="C185" s="164"/>
      <c r="D185" s="165" t="s">
        <v>108</v>
      </c>
      <c r="E185" s="60">
        <v>32</v>
      </c>
      <c r="F185" s="84">
        <v>0.1</v>
      </c>
      <c r="G185" s="8"/>
      <c r="H185" s="117">
        <f t="shared" si="6"/>
        <v>0</v>
      </c>
    </row>
    <row r="186" spans="1:8" x14ac:dyDescent="0.2">
      <c r="A186" s="13" t="str">
        <f>"9788131941300"</f>
        <v>9788131941300</v>
      </c>
      <c r="B186" s="8" t="str">
        <f>"Queen Elizabeth"</f>
        <v>Queen Elizabeth</v>
      </c>
      <c r="C186" s="164"/>
      <c r="D186" s="165" t="s">
        <v>108</v>
      </c>
      <c r="E186" s="60">
        <v>32</v>
      </c>
      <c r="F186" s="84">
        <v>0.1</v>
      </c>
      <c r="G186" s="8"/>
      <c r="H186" s="117">
        <f t="shared" si="6"/>
        <v>0</v>
      </c>
    </row>
    <row r="187" spans="1:8" ht="15" thickBot="1" x14ac:dyDescent="0.25">
      <c r="A187" s="179" t="str">
        <f>"9788131941317"</f>
        <v>9788131941317</v>
      </c>
      <c r="B187" s="142" t="str">
        <f>"Cristiano Ronaldo"</f>
        <v>Cristiano Ronaldo</v>
      </c>
      <c r="C187" s="177"/>
      <c r="D187" s="180" t="s">
        <v>108</v>
      </c>
      <c r="E187" s="181">
        <v>32</v>
      </c>
      <c r="F187" s="182">
        <v>0.1</v>
      </c>
      <c r="G187" s="142"/>
      <c r="H187" s="141">
        <f t="shared" si="6"/>
        <v>0</v>
      </c>
    </row>
    <row r="188" spans="1:8" s="99" customFormat="1" ht="15" thickBot="1" x14ac:dyDescent="0.25">
      <c r="C188" s="153"/>
      <c r="D188" s="153"/>
      <c r="E188" s="102"/>
      <c r="F188" s="103"/>
      <c r="G188" s="109"/>
      <c r="H188" s="134"/>
    </row>
    <row r="189" spans="1:8" ht="15" x14ac:dyDescent="0.2">
      <c r="A189" s="265" t="s">
        <v>119</v>
      </c>
      <c r="B189" s="266"/>
      <c r="C189" s="167"/>
      <c r="D189" s="167"/>
      <c r="E189" s="61"/>
      <c r="F189" s="85"/>
      <c r="G189" s="9"/>
      <c r="H189" s="114"/>
    </row>
    <row r="190" spans="1:8" x14ac:dyDescent="0.2">
      <c r="A190" s="14" t="s">
        <v>4</v>
      </c>
      <c r="B190" s="9" t="s">
        <v>5</v>
      </c>
      <c r="C190" s="168"/>
      <c r="D190" s="168" t="s">
        <v>109</v>
      </c>
      <c r="E190" s="62">
        <v>32</v>
      </c>
      <c r="F190" s="86">
        <v>0.1</v>
      </c>
      <c r="G190" s="9"/>
      <c r="H190" s="115">
        <f>IF(G190&gt;0,(E190*G190)-(F190*E190),0)</f>
        <v>0</v>
      </c>
    </row>
    <row r="191" spans="1:8" x14ac:dyDescent="0.2">
      <c r="A191" s="14" t="s">
        <v>24</v>
      </c>
      <c r="B191" s="9" t="s">
        <v>25</v>
      </c>
      <c r="C191" s="168"/>
      <c r="D191" s="168" t="s">
        <v>109</v>
      </c>
      <c r="E191" s="62">
        <v>32</v>
      </c>
      <c r="F191" s="86">
        <v>0.1</v>
      </c>
      <c r="G191" s="9"/>
      <c r="H191" s="115">
        <f t="shared" ref="H191:H230" si="7">IF(G191&gt;0,(E191*G191)-(F191*E191),0)</f>
        <v>0</v>
      </c>
    </row>
    <row r="192" spans="1:8" x14ac:dyDescent="0.2">
      <c r="A192" s="14" t="s">
        <v>6</v>
      </c>
      <c r="B192" s="9" t="s">
        <v>7</v>
      </c>
      <c r="C192" s="168"/>
      <c r="D192" s="168" t="s">
        <v>109</v>
      </c>
      <c r="E192" s="62">
        <v>32</v>
      </c>
      <c r="F192" s="86">
        <v>0.1</v>
      </c>
      <c r="G192" s="9"/>
      <c r="H192" s="115">
        <f t="shared" si="7"/>
        <v>0</v>
      </c>
    </row>
    <row r="193" spans="1:8" x14ac:dyDescent="0.2">
      <c r="A193" s="14" t="s">
        <v>8</v>
      </c>
      <c r="B193" s="9" t="s">
        <v>9</v>
      </c>
      <c r="C193" s="168"/>
      <c r="D193" s="168" t="s">
        <v>109</v>
      </c>
      <c r="E193" s="62">
        <v>32</v>
      </c>
      <c r="F193" s="86">
        <v>0.1</v>
      </c>
      <c r="G193" s="9"/>
      <c r="H193" s="115">
        <f t="shared" si="7"/>
        <v>0</v>
      </c>
    </row>
    <row r="194" spans="1:8" x14ac:dyDescent="0.2">
      <c r="A194" s="14" t="s">
        <v>38</v>
      </c>
      <c r="B194" s="9" t="s">
        <v>39</v>
      </c>
      <c r="C194" s="168"/>
      <c r="D194" s="168" t="s">
        <v>109</v>
      </c>
      <c r="E194" s="62">
        <v>32</v>
      </c>
      <c r="F194" s="86">
        <v>0.1</v>
      </c>
      <c r="G194" s="9"/>
      <c r="H194" s="115">
        <f t="shared" si="7"/>
        <v>0</v>
      </c>
    </row>
    <row r="195" spans="1:8" x14ac:dyDescent="0.2">
      <c r="A195" s="14" t="s">
        <v>40</v>
      </c>
      <c r="B195" s="9" t="s">
        <v>41</v>
      </c>
      <c r="C195" s="168"/>
      <c r="D195" s="168" t="s">
        <v>109</v>
      </c>
      <c r="E195" s="62">
        <v>32</v>
      </c>
      <c r="F195" s="86">
        <v>0.1</v>
      </c>
      <c r="G195" s="9"/>
      <c r="H195" s="115">
        <f t="shared" si="7"/>
        <v>0</v>
      </c>
    </row>
    <row r="196" spans="1:8" x14ac:dyDescent="0.2">
      <c r="A196" s="14" t="s">
        <v>53</v>
      </c>
      <c r="B196" s="9" t="s">
        <v>54</v>
      </c>
      <c r="C196" s="168"/>
      <c r="D196" s="168" t="s">
        <v>109</v>
      </c>
      <c r="E196" s="62">
        <v>32</v>
      </c>
      <c r="F196" s="86">
        <v>0.1</v>
      </c>
      <c r="G196" s="9"/>
      <c r="H196" s="115">
        <f t="shared" si="7"/>
        <v>0</v>
      </c>
    </row>
    <row r="197" spans="1:8" x14ac:dyDescent="0.2">
      <c r="A197" s="14" t="s">
        <v>69</v>
      </c>
      <c r="B197" s="9" t="s">
        <v>70</v>
      </c>
      <c r="C197" s="168"/>
      <c r="D197" s="168" t="s">
        <v>109</v>
      </c>
      <c r="E197" s="62">
        <v>32</v>
      </c>
      <c r="F197" s="86">
        <v>0.1</v>
      </c>
      <c r="G197" s="9"/>
      <c r="H197" s="115">
        <f t="shared" si="7"/>
        <v>0</v>
      </c>
    </row>
    <row r="198" spans="1:8" x14ac:dyDescent="0.2">
      <c r="A198" s="14" t="s">
        <v>77</v>
      </c>
      <c r="B198" s="9" t="s">
        <v>78</v>
      </c>
      <c r="C198" s="168"/>
      <c r="D198" s="168" t="s">
        <v>109</v>
      </c>
      <c r="E198" s="62">
        <v>32</v>
      </c>
      <c r="F198" s="86">
        <v>0.1</v>
      </c>
      <c r="G198" s="9"/>
      <c r="H198" s="115">
        <f t="shared" si="7"/>
        <v>0</v>
      </c>
    </row>
    <row r="199" spans="1:8" x14ac:dyDescent="0.2">
      <c r="A199" s="14" t="s">
        <v>81</v>
      </c>
      <c r="B199" s="9" t="s">
        <v>82</v>
      </c>
      <c r="C199" s="168"/>
      <c r="D199" s="168" t="s">
        <v>109</v>
      </c>
      <c r="E199" s="62">
        <v>32</v>
      </c>
      <c r="F199" s="86">
        <v>0.1</v>
      </c>
      <c r="G199" s="9"/>
      <c r="H199" s="115">
        <f t="shared" si="7"/>
        <v>0</v>
      </c>
    </row>
    <row r="200" spans="1:8" x14ac:dyDescent="0.2">
      <c r="A200" s="14" t="s">
        <v>83</v>
      </c>
      <c r="B200" s="9" t="s">
        <v>84</v>
      </c>
      <c r="C200" s="168"/>
      <c r="D200" s="168" t="s">
        <v>109</v>
      </c>
      <c r="E200" s="62">
        <v>32</v>
      </c>
      <c r="F200" s="86">
        <v>0.1</v>
      </c>
      <c r="G200" s="9"/>
      <c r="H200" s="115">
        <f t="shared" si="7"/>
        <v>0</v>
      </c>
    </row>
    <row r="201" spans="1:8" x14ac:dyDescent="0.2">
      <c r="A201" s="14" t="s">
        <v>10</v>
      </c>
      <c r="B201" s="9" t="s">
        <v>11</v>
      </c>
      <c r="C201" s="168"/>
      <c r="D201" s="168" t="s">
        <v>108</v>
      </c>
      <c r="E201" s="62">
        <v>32</v>
      </c>
      <c r="F201" s="86">
        <v>0.1</v>
      </c>
      <c r="G201" s="9"/>
      <c r="H201" s="115">
        <f t="shared" si="7"/>
        <v>0</v>
      </c>
    </row>
    <row r="202" spans="1:8" x14ac:dyDescent="0.2">
      <c r="A202" s="14" t="s">
        <v>16</v>
      </c>
      <c r="B202" s="9" t="s">
        <v>17</v>
      </c>
      <c r="C202" s="168"/>
      <c r="D202" s="168" t="s">
        <v>108</v>
      </c>
      <c r="E202" s="62">
        <v>32</v>
      </c>
      <c r="F202" s="86">
        <v>0.1</v>
      </c>
      <c r="G202" s="9"/>
      <c r="H202" s="115">
        <f t="shared" si="7"/>
        <v>0</v>
      </c>
    </row>
    <row r="203" spans="1:8" x14ac:dyDescent="0.2">
      <c r="A203" s="14" t="s">
        <v>18</v>
      </c>
      <c r="B203" s="9" t="s">
        <v>19</v>
      </c>
      <c r="C203" s="168"/>
      <c r="D203" s="168" t="s">
        <v>108</v>
      </c>
      <c r="E203" s="62">
        <v>32</v>
      </c>
      <c r="F203" s="86">
        <v>0.1</v>
      </c>
      <c r="G203" s="9"/>
      <c r="H203" s="115">
        <f t="shared" si="7"/>
        <v>0</v>
      </c>
    </row>
    <row r="204" spans="1:8" x14ac:dyDescent="0.2">
      <c r="A204" s="14" t="s">
        <v>22</v>
      </c>
      <c r="B204" s="9" t="s">
        <v>23</v>
      </c>
      <c r="C204" s="168"/>
      <c r="D204" s="168" t="s">
        <v>108</v>
      </c>
      <c r="E204" s="62">
        <v>32</v>
      </c>
      <c r="F204" s="86">
        <v>0.1</v>
      </c>
      <c r="G204" s="9"/>
      <c r="H204" s="115">
        <f t="shared" si="7"/>
        <v>0</v>
      </c>
    </row>
    <row r="205" spans="1:8" x14ac:dyDescent="0.2">
      <c r="A205" s="14" t="s">
        <v>26</v>
      </c>
      <c r="B205" s="9" t="s">
        <v>27</v>
      </c>
      <c r="C205" s="168"/>
      <c r="D205" s="168" t="s">
        <v>108</v>
      </c>
      <c r="E205" s="62">
        <v>32</v>
      </c>
      <c r="F205" s="86">
        <v>0.1</v>
      </c>
      <c r="G205" s="9"/>
      <c r="H205" s="115">
        <f t="shared" si="7"/>
        <v>0</v>
      </c>
    </row>
    <row r="206" spans="1:8" x14ac:dyDescent="0.2">
      <c r="A206" s="14" t="s">
        <v>30</v>
      </c>
      <c r="B206" s="9" t="s">
        <v>31</v>
      </c>
      <c r="C206" s="168"/>
      <c r="D206" s="168" t="s">
        <v>108</v>
      </c>
      <c r="E206" s="62">
        <v>32</v>
      </c>
      <c r="F206" s="86">
        <v>0.1</v>
      </c>
      <c r="G206" s="9"/>
      <c r="H206" s="115">
        <f t="shared" si="7"/>
        <v>0</v>
      </c>
    </row>
    <row r="207" spans="1:8" x14ac:dyDescent="0.2">
      <c r="A207" s="14" t="s">
        <v>32</v>
      </c>
      <c r="B207" s="9" t="s">
        <v>33</v>
      </c>
      <c r="C207" s="168"/>
      <c r="D207" s="168" t="s">
        <v>108</v>
      </c>
      <c r="E207" s="62">
        <v>32</v>
      </c>
      <c r="F207" s="86">
        <v>0.1</v>
      </c>
      <c r="G207" s="9"/>
      <c r="H207" s="115">
        <f t="shared" si="7"/>
        <v>0</v>
      </c>
    </row>
    <row r="208" spans="1:8" x14ac:dyDescent="0.2">
      <c r="A208" s="14" t="s">
        <v>34</v>
      </c>
      <c r="B208" s="9" t="s">
        <v>35</v>
      </c>
      <c r="C208" s="168"/>
      <c r="D208" s="168" t="s">
        <v>108</v>
      </c>
      <c r="E208" s="62">
        <v>32</v>
      </c>
      <c r="F208" s="86">
        <v>0.1</v>
      </c>
      <c r="G208" s="9"/>
      <c r="H208" s="115">
        <f t="shared" si="7"/>
        <v>0</v>
      </c>
    </row>
    <row r="209" spans="1:8" x14ac:dyDescent="0.2">
      <c r="A209" s="14" t="s">
        <v>36</v>
      </c>
      <c r="B209" s="9" t="s">
        <v>37</v>
      </c>
      <c r="C209" s="168"/>
      <c r="D209" s="168" t="s">
        <v>108</v>
      </c>
      <c r="E209" s="62">
        <v>32</v>
      </c>
      <c r="F209" s="86">
        <v>0.1</v>
      </c>
      <c r="G209" s="9"/>
      <c r="H209" s="115">
        <f t="shared" si="7"/>
        <v>0</v>
      </c>
    </row>
    <row r="210" spans="1:8" x14ac:dyDescent="0.2">
      <c r="A210" s="14" t="s">
        <v>42</v>
      </c>
      <c r="B210" s="9" t="s">
        <v>43</v>
      </c>
      <c r="C210" s="168"/>
      <c r="D210" s="168" t="s">
        <v>108</v>
      </c>
      <c r="E210" s="62">
        <v>32</v>
      </c>
      <c r="F210" s="86">
        <v>0.1</v>
      </c>
      <c r="G210" s="9"/>
      <c r="H210" s="115">
        <f t="shared" si="7"/>
        <v>0</v>
      </c>
    </row>
    <row r="211" spans="1:8" x14ac:dyDescent="0.2">
      <c r="A211" s="14" t="s">
        <v>44</v>
      </c>
      <c r="B211" s="9" t="s">
        <v>45</v>
      </c>
      <c r="C211" s="168"/>
      <c r="D211" s="168" t="s">
        <v>108</v>
      </c>
      <c r="E211" s="62">
        <v>32</v>
      </c>
      <c r="F211" s="86">
        <v>0.1</v>
      </c>
      <c r="G211" s="9"/>
      <c r="H211" s="115">
        <f t="shared" si="7"/>
        <v>0</v>
      </c>
    </row>
    <row r="212" spans="1:8" x14ac:dyDescent="0.2">
      <c r="A212" s="14" t="s">
        <v>46</v>
      </c>
      <c r="B212" s="9" t="s">
        <v>47</v>
      </c>
      <c r="C212" s="168"/>
      <c r="D212" s="168" t="s">
        <v>108</v>
      </c>
      <c r="E212" s="62">
        <v>32</v>
      </c>
      <c r="F212" s="86">
        <v>0.1</v>
      </c>
      <c r="G212" s="9"/>
      <c r="H212" s="115">
        <f t="shared" si="7"/>
        <v>0</v>
      </c>
    </row>
    <row r="213" spans="1:8" x14ac:dyDescent="0.2">
      <c r="A213" s="14" t="s">
        <v>48</v>
      </c>
      <c r="B213" s="9" t="s">
        <v>49</v>
      </c>
      <c r="C213" s="168"/>
      <c r="D213" s="168" t="s">
        <v>108</v>
      </c>
      <c r="E213" s="62">
        <v>32</v>
      </c>
      <c r="F213" s="86">
        <v>0.1</v>
      </c>
      <c r="G213" s="9"/>
      <c r="H213" s="115">
        <f t="shared" si="7"/>
        <v>0</v>
      </c>
    </row>
    <row r="214" spans="1:8" x14ac:dyDescent="0.2">
      <c r="A214" s="124">
        <v>9788131933428</v>
      </c>
      <c r="B214" s="9" t="s">
        <v>50</v>
      </c>
      <c r="C214" s="168"/>
      <c r="D214" s="168" t="s">
        <v>108</v>
      </c>
      <c r="E214" s="62">
        <v>32</v>
      </c>
      <c r="F214" s="86">
        <v>0.1</v>
      </c>
      <c r="G214" s="9"/>
      <c r="H214" s="115">
        <f t="shared" si="7"/>
        <v>0</v>
      </c>
    </row>
    <row r="215" spans="1:8" x14ac:dyDescent="0.2">
      <c r="A215" s="14" t="s">
        <v>51</v>
      </c>
      <c r="B215" s="9" t="s">
        <v>52</v>
      </c>
      <c r="C215" s="168"/>
      <c r="D215" s="168" t="s">
        <v>108</v>
      </c>
      <c r="E215" s="62">
        <v>32</v>
      </c>
      <c r="F215" s="86">
        <v>0.1</v>
      </c>
      <c r="G215" s="9"/>
      <c r="H215" s="115">
        <f t="shared" si="7"/>
        <v>0</v>
      </c>
    </row>
    <row r="216" spans="1:8" x14ac:dyDescent="0.2">
      <c r="A216" s="14" t="s">
        <v>55</v>
      </c>
      <c r="B216" s="9" t="s">
        <v>56</v>
      </c>
      <c r="C216" s="168"/>
      <c r="D216" s="168" t="s">
        <v>108</v>
      </c>
      <c r="E216" s="62">
        <v>32</v>
      </c>
      <c r="F216" s="86">
        <v>0.1</v>
      </c>
      <c r="G216" s="9"/>
      <c r="H216" s="115">
        <f t="shared" si="7"/>
        <v>0</v>
      </c>
    </row>
    <row r="217" spans="1:8" x14ac:dyDescent="0.2">
      <c r="A217" s="14" t="s">
        <v>59</v>
      </c>
      <c r="B217" s="9" t="s">
        <v>60</v>
      </c>
      <c r="C217" s="168"/>
      <c r="D217" s="168" t="s">
        <v>108</v>
      </c>
      <c r="E217" s="62">
        <v>32</v>
      </c>
      <c r="F217" s="86">
        <v>0.1</v>
      </c>
      <c r="G217" s="9"/>
      <c r="H217" s="115">
        <f t="shared" si="7"/>
        <v>0</v>
      </c>
    </row>
    <row r="218" spans="1:8" x14ac:dyDescent="0.2">
      <c r="A218" s="14" t="s">
        <v>61</v>
      </c>
      <c r="B218" s="9" t="s">
        <v>62</v>
      </c>
      <c r="C218" s="168"/>
      <c r="D218" s="168" t="s">
        <v>108</v>
      </c>
      <c r="E218" s="62">
        <v>32</v>
      </c>
      <c r="F218" s="86">
        <v>0.1</v>
      </c>
      <c r="G218" s="9"/>
      <c r="H218" s="115">
        <f t="shared" si="7"/>
        <v>0</v>
      </c>
    </row>
    <row r="219" spans="1:8" x14ac:dyDescent="0.2">
      <c r="A219" s="14" t="s">
        <v>63</v>
      </c>
      <c r="B219" s="9" t="s">
        <v>64</v>
      </c>
      <c r="C219" s="168"/>
      <c r="D219" s="168" t="s">
        <v>108</v>
      </c>
      <c r="E219" s="62">
        <v>32</v>
      </c>
      <c r="F219" s="86">
        <v>0.1</v>
      </c>
      <c r="G219" s="9"/>
      <c r="H219" s="115">
        <f t="shared" si="7"/>
        <v>0</v>
      </c>
    </row>
    <row r="220" spans="1:8" x14ac:dyDescent="0.2">
      <c r="A220" s="14" t="s">
        <v>65</v>
      </c>
      <c r="B220" s="9" t="s">
        <v>66</v>
      </c>
      <c r="C220" s="168"/>
      <c r="D220" s="168" t="s">
        <v>108</v>
      </c>
      <c r="E220" s="62">
        <v>32</v>
      </c>
      <c r="F220" s="86">
        <v>0.1</v>
      </c>
      <c r="G220" s="9"/>
      <c r="H220" s="115">
        <f t="shared" si="7"/>
        <v>0</v>
      </c>
    </row>
    <row r="221" spans="1:8" x14ac:dyDescent="0.2">
      <c r="A221" s="14" t="s">
        <v>67</v>
      </c>
      <c r="B221" s="9" t="s">
        <v>68</v>
      </c>
      <c r="C221" s="168"/>
      <c r="D221" s="168" t="s">
        <v>108</v>
      </c>
      <c r="E221" s="62">
        <v>32</v>
      </c>
      <c r="F221" s="86">
        <v>0.1</v>
      </c>
      <c r="G221" s="9"/>
      <c r="H221" s="115">
        <f t="shared" si="7"/>
        <v>0</v>
      </c>
    </row>
    <row r="222" spans="1:8" x14ac:dyDescent="0.2">
      <c r="A222" s="14" t="s">
        <v>71</v>
      </c>
      <c r="B222" s="9" t="s">
        <v>72</v>
      </c>
      <c r="C222" s="168"/>
      <c r="D222" s="168" t="s">
        <v>108</v>
      </c>
      <c r="E222" s="62">
        <v>32</v>
      </c>
      <c r="F222" s="86">
        <v>0.1</v>
      </c>
      <c r="G222" s="9"/>
      <c r="H222" s="115">
        <f t="shared" si="7"/>
        <v>0</v>
      </c>
    </row>
    <row r="223" spans="1:8" x14ac:dyDescent="0.2">
      <c r="A223" s="14" t="s">
        <v>75</v>
      </c>
      <c r="B223" s="9" t="s">
        <v>76</v>
      </c>
      <c r="C223" s="168"/>
      <c r="D223" s="168" t="s">
        <v>108</v>
      </c>
      <c r="E223" s="62">
        <v>32</v>
      </c>
      <c r="F223" s="86">
        <v>0.1</v>
      </c>
      <c r="G223" s="9"/>
      <c r="H223" s="115">
        <f t="shared" si="7"/>
        <v>0</v>
      </c>
    </row>
    <row r="224" spans="1:8" x14ac:dyDescent="0.2">
      <c r="A224" s="14" t="s">
        <v>79</v>
      </c>
      <c r="B224" s="9" t="s">
        <v>80</v>
      </c>
      <c r="C224" s="168"/>
      <c r="D224" s="168" t="s">
        <v>108</v>
      </c>
      <c r="E224" s="62">
        <v>32</v>
      </c>
      <c r="F224" s="86">
        <v>0.1</v>
      </c>
      <c r="G224" s="9"/>
      <c r="H224" s="115">
        <f t="shared" si="7"/>
        <v>0</v>
      </c>
    </row>
    <row r="225" spans="1:8" x14ac:dyDescent="0.2">
      <c r="A225" s="14" t="s">
        <v>12</v>
      </c>
      <c r="B225" s="9" t="s">
        <v>13</v>
      </c>
      <c r="C225" s="168"/>
      <c r="D225" s="168" t="s">
        <v>110</v>
      </c>
      <c r="E225" s="62">
        <v>32</v>
      </c>
      <c r="F225" s="86">
        <v>0.1</v>
      </c>
      <c r="G225" s="9"/>
      <c r="H225" s="115">
        <f t="shared" si="7"/>
        <v>0</v>
      </c>
    </row>
    <row r="226" spans="1:8" x14ac:dyDescent="0.2">
      <c r="A226" s="14" t="s">
        <v>14</v>
      </c>
      <c r="B226" s="9" t="s">
        <v>15</v>
      </c>
      <c r="C226" s="168"/>
      <c r="D226" s="168" t="s">
        <v>110</v>
      </c>
      <c r="E226" s="62">
        <v>32</v>
      </c>
      <c r="F226" s="86">
        <v>0.1</v>
      </c>
      <c r="G226" s="9"/>
      <c r="H226" s="115">
        <f t="shared" si="7"/>
        <v>0</v>
      </c>
    </row>
    <row r="227" spans="1:8" x14ac:dyDescent="0.2">
      <c r="A227" s="14" t="s">
        <v>20</v>
      </c>
      <c r="B227" s="9" t="s">
        <v>21</v>
      </c>
      <c r="C227" s="168"/>
      <c r="D227" s="168" t="s">
        <v>110</v>
      </c>
      <c r="E227" s="62">
        <v>32</v>
      </c>
      <c r="F227" s="86">
        <v>0.1</v>
      </c>
      <c r="G227" s="9"/>
      <c r="H227" s="115">
        <f t="shared" si="7"/>
        <v>0</v>
      </c>
    </row>
    <row r="228" spans="1:8" x14ac:dyDescent="0.2">
      <c r="A228" s="14" t="s">
        <v>28</v>
      </c>
      <c r="B228" s="9" t="s">
        <v>29</v>
      </c>
      <c r="C228" s="168"/>
      <c r="D228" s="168" t="s">
        <v>110</v>
      </c>
      <c r="E228" s="62">
        <v>32</v>
      </c>
      <c r="F228" s="86">
        <v>0.1</v>
      </c>
      <c r="G228" s="9"/>
      <c r="H228" s="115">
        <f t="shared" si="7"/>
        <v>0</v>
      </c>
    </row>
    <row r="229" spans="1:8" x14ac:dyDescent="0.2">
      <c r="A229" s="14" t="s">
        <v>57</v>
      </c>
      <c r="B229" s="9" t="s">
        <v>58</v>
      </c>
      <c r="C229" s="168"/>
      <c r="D229" s="168" t="s">
        <v>110</v>
      </c>
      <c r="E229" s="62">
        <v>32</v>
      </c>
      <c r="F229" s="86">
        <v>0.1</v>
      </c>
      <c r="G229" s="9"/>
      <c r="H229" s="115">
        <f t="shared" si="7"/>
        <v>0</v>
      </c>
    </row>
    <row r="230" spans="1:8" ht="15" thickBot="1" x14ac:dyDescent="0.25">
      <c r="A230" s="14" t="s">
        <v>73</v>
      </c>
      <c r="B230" s="140" t="s">
        <v>74</v>
      </c>
      <c r="C230" s="168"/>
      <c r="D230" s="168" t="s">
        <v>110</v>
      </c>
      <c r="E230" s="139">
        <v>32</v>
      </c>
      <c r="F230" s="86">
        <v>0.1</v>
      </c>
      <c r="G230" s="9"/>
      <c r="H230" s="115">
        <f t="shared" si="7"/>
        <v>0</v>
      </c>
    </row>
    <row r="231" spans="1:8" s="99" customFormat="1" ht="15" thickBot="1" x14ac:dyDescent="0.25">
      <c r="A231" s="107"/>
      <c r="C231" s="166"/>
      <c r="D231" s="166"/>
      <c r="E231" s="102"/>
      <c r="F231" s="105"/>
      <c r="G231" s="110"/>
      <c r="H231" s="104"/>
    </row>
    <row r="232" spans="1:8" ht="15" x14ac:dyDescent="0.25">
      <c r="A232" s="269" t="s">
        <v>118</v>
      </c>
      <c r="B232" s="270"/>
      <c r="C232" s="169"/>
      <c r="D232" s="169"/>
      <c r="E232" s="63"/>
      <c r="F232" s="87"/>
      <c r="G232" s="10"/>
      <c r="H232" s="138"/>
    </row>
    <row r="233" spans="1:8" x14ac:dyDescent="0.2">
      <c r="A233" s="16">
        <v>9788131930526</v>
      </c>
      <c r="B233" s="15" t="s">
        <v>97</v>
      </c>
      <c r="C233" s="170"/>
      <c r="D233" s="170" t="s">
        <v>109</v>
      </c>
      <c r="E233" s="64">
        <v>29</v>
      </c>
      <c r="F233" s="88">
        <v>0.1</v>
      </c>
      <c r="G233" s="11"/>
      <c r="H233" s="113">
        <f>IF(G233&gt;0,(E233*G233)-(F233*E233),0)</f>
        <v>0</v>
      </c>
    </row>
    <row r="234" spans="1:8" x14ac:dyDescent="0.2">
      <c r="A234" s="16">
        <v>9788131904459</v>
      </c>
      <c r="B234" s="15" t="s">
        <v>85</v>
      </c>
      <c r="C234" s="170"/>
      <c r="D234" s="170">
        <v>8</v>
      </c>
      <c r="E234" s="64">
        <v>29</v>
      </c>
      <c r="F234" s="88">
        <v>0.1</v>
      </c>
      <c r="G234" s="11"/>
      <c r="H234" s="113">
        <f t="shared" ref="H234:H247" si="8">IF(G234&gt;0,(E234*G234)-(F234*E234),0)</f>
        <v>0</v>
      </c>
    </row>
    <row r="235" spans="1:8" x14ac:dyDescent="0.2">
      <c r="A235" s="16">
        <v>9788131904497</v>
      </c>
      <c r="B235" s="15" t="s">
        <v>87</v>
      </c>
      <c r="C235" s="170"/>
      <c r="D235" s="170">
        <v>8</v>
      </c>
      <c r="E235" s="64">
        <v>29</v>
      </c>
      <c r="F235" s="88">
        <v>0.1</v>
      </c>
      <c r="G235" s="11"/>
      <c r="H235" s="113">
        <f t="shared" si="8"/>
        <v>0</v>
      </c>
    </row>
    <row r="236" spans="1:8" x14ac:dyDescent="0.2">
      <c r="A236" s="16">
        <v>9788131904510</v>
      </c>
      <c r="B236" s="15" t="s">
        <v>88</v>
      </c>
      <c r="C236" s="170"/>
      <c r="D236" s="170">
        <v>8</v>
      </c>
      <c r="E236" s="64">
        <v>29</v>
      </c>
      <c r="F236" s="88">
        <v>0.1</v>
      </c>
      <c r="G236" s="11"/>
      <c r="H236" s="113">
        <f t="shared" si="8"/>
        <v>0</v>
      </c>
    </row>
    <row r="237" spans="1:8" x14ac:dyDescent="0.2">
      <c r="A237" s="16">
        <v>9788131904527</v>
      </c>
      <c r="B237" s="15" t="s">
        <v>89</v>
      </c>
      <c r="C237" s="170"/>
      <c r="D237" s="170">
        <v>8</v>
      </c>
      <c r="E237" s="64">
        <v>29</v>
      </c>
      <c r="F237" s="88">
        <v>0.1</v>
      </c>
      <c r="G237" s="11"/>
      <c r="H237" s="113">
        <f t="shared" si="8"/>
        <v>0</v>
      </c>
    </row>
    <row r="238" spans="1:8" x14ac:dyDescent="0.2">
      <c r="A238" s="16">
        <v>9788131904541</v>
      </c>
      <c r="B238" s="15" t="s">
        <v>90</v>
      </c>
      <c r="C238" s="170"/>
      <c r="D238" s="170">
        <v>8</v>
      </c>
      <c r="E238" s="64">
        <v>29</v>
      </c>
      <c r="F238" s="88">
        <v>0.1</v>
      </c>
      <c r="G238" s="11"/>
      <c r="H238" s="113">
        <f t="shared" si="8"/>
        <v>0</v>
      </c>
    </row>
    <row r="239" spans="1:8" x14ac:dyDescent="0.2">
      <c r="A239" s="16">
        <v>9788131904565</v>
      </c>
      <c r="B239" s="15" t="s">
        <v>91</v>
      </c>
      <c r="C239" s="170"/>
      <c r="D239" s="170">
        <v>8</v>
      </c>
      <c r="E239" s="64">
        <v>29</v>
      </c>
      <c r="F239" s="88">
        <v>0.1</v>
      </c>
      <c r="G239" s="11"/>
      <c r="H239" s="113">
        <f t="shared" si="8"/>
        <v>0</v>
      </c>
    </row>
    <row r="240" spans="1:8" x14ac:dyDescent="0.2">
      <c r="A240" s="16">
        <v>9788131904725</v>
      </c>
      <c r="B240" s="15" t="s">
        <v>92</v>
      </c>
      <c r="C240" s="170"/>
      <c r="D240" s="170">
        <v>8</v>
      </c>
      <c r="E240" s="64">
        <v>29</v>
      </c>
      <c r="F240" s="88">
        <v>0.1</v>
      </c>
      <c r="G240" s="11"/>
      <c r="H240" s="113">
        <f t="shared" si="8"/>
        <v>0</v>
      </c>
    </row>
    <row r="241" spans="1:8" x14ac:dyDescent="0.2">
      <c r="A241" s="16">
        <v>9788131904732</v>
      </c>
      <c r="B241" s="15" t="s">
        <v>93</v>
      </c>
      <c r="C241" s="170"/>
      <c r="D241" s="170">
        <v>8</v>
      </c>
      <c r="E241" s="64">
        <v>29</v>
      </c>
      <c r="F241" s="88">
        <v>0.1</v>
      </c>
      <c r="G241" s="11"/>
      <c r="H241" s="113">
        <f t="shared" si="8"/>
        <v>0</v>
      </c>
    </row>
    <row r="242" spans="1:8" x14ac:dyDescent="0.2">
      <c r="A242" s="16">
        <v>9788131904763</v>
      </c>
      <c r="B242" s="15" t="s">
        <v>94</v>
      </c>
      <c r="C242" s="170"/>
      <c r="D242" s="170">
        <v>8</v>
      </c>
      <c r="E242" s="64">
        <v>29</v>
      </c>
      <c r="F242" s="88">
        <v>0.1</v>
      </c>
      <c r="G242" s="11"/>
      <c r="H242" s="113">
        <f t="shared" si="8"/>
        <v>0</v>
      </c>
    </row>
    <row r="243" spans="1:8" x14ac:dyDescent="0.2">
      <c r="A243" s="16">
        <v>9788131904787</v>
      </c>
      <c r="B243" s="15" t="s">
        <v>95</v>
      </c>
      <c r="C243" s="170"/>
      <c r="D243" s="170">
        <v>8</v>
      </c>
      <c r="E243" s="64">
        <v>29</v>
      </c>
      <c r="F243" s="88">
        <v>0.1</v>
      </c>
      <c r="G243" s="11"/>
      <c r="H243" s="113">
        <f t="shared" si="8"/>
        <v>0</v>
      </c>
    </row>
    <row r="244" spans="1:8" x14ac:dyDescent="0.2">
      <c r="A244" s="16">
        <v>9788131904817</v>
      </c>
      <c r="B244" s="15" t="s">
        <v>96</v>
      </c>
      <c r="C244" s="170"/>
      <c r="D244" s="170">
        <v>8</v>
      </c>
      <c r="E244" s="64">
        <v>29</v>
      </c>
      <c r="F244" s="88">
        <v>0.1</v>
      </c>
      <c r="G244" s="11"/>
      <c r="H244" s="113">
        <f t="shared" si="8"/>
        <v>0</v>
      </c>
    </row>
    <row r="245" spans="1:8" x14ac:dyDescent="0.2">
      <c r="A245" s="16">
        <v>9788131930533</v>
      </c>
      <c r="B245" s="15" t="s">
        <v>98</v>
      </c>
      <c r="C245" s="170"/>
      <c r="D245" s="170">
        <v>8</v>
      </c>
      <c r="E245" s="64">
        <v>29</v>
      </c>
      <c r="F245" s="88">
        <v>0.1</v>
      </c>
      <c r="G245" s="11"/>
      <c r="H245" s="113">
        <f t="shared" si="8"/>
        <v>0</v>
      </c>
    </row>
    <row r="246" spans="1:8" x14ac:dyDescent="0.2">
      <c r="A246" s="16">
        <v>9788131930540</v>
      </c>
      <c r="B246" s="15" t="s">
        <v>99</v>
      </c>
      <c r="C246" s="170"/>
      <c r="D246" s="170">
        <v>8</v>
      </c>
      <c r="E246" s="64">
        <v>29</v>
      </c>
      <c r="F246" s="88">
        <v>0.1</v>
      </c>
      <c r="G246" s="11"/>
      <c r="H246" s="113">
        <f t="shared" si="8"/>
        <v>0</v>
      </c>
    </row>
    <row r="247" spans="1:8" ht="15" thickBot="1" x14ac:dyDescent="0.25">
      <c r="A247" s="17">
        <v>9788131904473</v>
      </c>
      <c r="B247" s="18" t="s">
        <v>86</v>
      </c>
      <c r="C247" s="171"/>
      <c r="D247" s="171" t="s">
        <v>108</v>
      </c>
      <c r="E247" s="65">
        <v>29</v>
      </c>
      <c r="F247" s="131">
        <v>0.1</v>
      </c>
      <c r="G247" s="12"/>
      <c r="H247" s="113">
        <f t="shared" si="8"/>
        <v>0</v>
      </c>
    </row>
    <row r="248" spans="1:8" s="99" customFormat="1" ht="15" thickBot="1" x14ac:dyDescent="0.25">
      <c r="A248" s="132"/>
      <c r="B248" s="133"/>
      <c r="C248" s="149"/>
      <c r="D248" s="149"/>
      <c r="E248" s="106"/>
      <c r="F248" s="97"/>
      <c r="G248" s="109"/>
      <c r="H248" s="183"/>
    </row>
    <row r="249" spans="1:8" s="7" customFormat="1" ht="15" thickBot="1" x14ac:dyDescent="0.25">
      <c r="A249" s="126">
        <v>9788131914700</v>
      </c>
      <c r="B249" s="127" t="s">
        <v>123</v>
      </c>
      <c r="C249" s="172"/>
      <c r="D249" s="172" t="s">
        <v>131</v>
      </c>
      <c r="E249" s="128">
        <v>32</v>
      </c>
      <c r="F249" s="129">
        <v>0.1</v>
      </c>
      <c r="G249" s="130"/>
      <c r="H249" s="137">
        <f>IF(G249&gt;0,(E249*G249)-(F249*E249),0)</f>
        <v>0</v>
      </c>
    </row>
    <row r="250" spans="1:8" s="99" customFormat="1" ht="15" thickBot="1" x14ac:dyDescent="0.25">
      <c r="A250" s="111"/>
      <c r="B250" s="125"/>
      <c r="C250" s="149"/>
      <c r="D250" s="166"/>
      <c r="E250" s="96"/>
      <c r="F250" s="105"/>
      <c r="G250" s="107"/>
      <c r="H250" s="135"/>
    </row>
    <row r="251" spans="1:8" ht="15" x14ac:dyDescent="0.25">
      <c r="A251" s="259" t="s">
        <v>117</v>
      </c>
      <c r="B251" s="260"/>
      <c r="C251" s="173"/>
      <c r="D251" s="173"/>
      <c r="E251" s="66"/>
      <c r="F251" s="89"/>
      <c r="G251" s="21"/>
      <c r="H251" s="136"/>
    </row>
    <row r="252" spans="1:8" x14ac:dyDescent="0.2">
      <c r="A252" s="19">
        <v>9788131935255</v>
      </c>
      <c r="B252" s="20" t="s">
        <v>100</v>
      </c>
      <c r="C252" s="174"/>
      <c r="D252" s="174" t="s">
        <v>109</v>
      </c>
      <c r="E252" s="67">
        <v>32</v>
      </c>
      <c r="F252" s="90">
        <v>0.1</v>
      </c>
      <c r="G252" s="21"/>
      <c r="H252" s="112">
        <f>IF(G252&gt;0,(E252*G252)-(F252*E252),0)</f>
        <v>0</v>
      </c>
    </row>
    <row r="253" spans="1:8" x14ac:dyDescent="0.2">
      <c r="A253" s="19">
        <v>9788131935262</v>
      </c>
      <c r="B253" s="20" t="s">
        <v>101</v>
      </c>
      <c r="C253" s="174"/>
      <c r="D253" s="174" t="s">
        <v>109</v>
      </c>
      <c r="E253" s="67">
        <v>32</v>
      </c>
      <c r="F253" s="90">
        <v>0.1</v>
      </c>
      <c r="G253" s="21"/>
      <c r="H253" s="112">
        <f t="shared" ref="H253:H316" si="9">IF(G253&gt;0,(E253*G253)-(F253*E253),0)</f>
        <v>0</v>
      </c>
    </row>
    <row r="254" spans="1:8" x14ac:dyDescent="0.2">
      <c r="A254" s="19">
        <v>9788131935347</v>
      </c>
      <c r="B254" s="20" t="s">
        <v>102</v>
      </c>
      <c r="C254" s="174"/>
      <c r="D254" s="174" t="s">
        <v>109</v>
      </c>
      <c r="E254" s="67">
        <v>32</v>
      </c>
      <c r="F254" s="90">
        <v>0.1</v>
      </c>
      <c r="G254" s="21"/>
      <c r="H254" s="112">
        <f t="shared" si="9"/>
        <v>0</v>
      </c>
    </row>
    <row r="255" spans="1:8" x14ac:dyDescent="0.2">
      <c r="A255" s="19">
        <v>9788131935354</v>
      </c>
      <c r="B255" s="20" t="s">
        <v>103</v>
      </c>
      <c r="C255" s="174"/>
      <c r="D255" s="174" t="s">
        <v>108</v>
      </c>
      <c r="E255" s="67">
        <v>32</v>
      </c>
      <c r="F255" s="90">
        <v>0.1</v>
      </c>
      <c r="G255" s="21"/>
      <c r="H255" s="112">
        <f t="shared" si="9"/>
        <v>0</v>
      </c>
    </row>
    <row r="256" spans="1:8" x14ac:dyDescent="0.2">
      <c r="A256" s="19">
        <v>9788131935361</v>
      </c>
      <c r="B256" s="20" t="s">
        <v>104</v>
      </c>
      <c r="C256" s="174"/>
      <c r="D256" s="174" t="s">
        <v>108</v>
      </c>
      <c r="E256" s="67">
        <v>32</v>
      </c>
      <c r="F256" s="90">
        <v>0.1</v>
      </c>
      <c r="G256" s="21"/>
      <c r="H256" s="112">
        <f t="shared" si="9"/>
        <v>0</v>
      </c>
    </row>
    <row r="257" spans="1:12" x14ac:dyDescent="0.2">
      <c r="A257" s="19">
        <v>9788131935378</v>
      </c>
      <c r="B257" s="20" t="s">
        <v>105</v>
      </c>
      <c r="C257" s="174"/>
      <c r="D257" s="174" t="s">
        <v>108</v>
      </c>
      <c r="E257" s="67">
        <v>32</v>
      </c>
      <c r="F257" s="90">
        <v>0.1</v>
      </c>
      <c r="G257" s="21"/>
      <c r="H257" s="112">
        <f t="shared" si="9"/>
        <v>0</v>
      </c>
    </row>
    <row r="258" spans="1:12" x14ac:dyDescent="0.2">
      <c r="A258" s="19">
        <v>9788131935385</v>
      </c>
      <c r="B258" s="20" t="s">
        <v>106</v>
      </c>
      <c r="C258" s="174"/>
      <c r="D258" s="174" t="s">
        <v>108</v>
      </c>
      <c r="E258" s="67">
        <v>32</v>
      </c>
      <c r="F258" s="90">
        <v>0.1</v>
      </c>
      <c r="G258" s="21"/>
      <c r="H258" s="112">
        <f t="shared" si="9"/>
        <v>0</v>
      </c>
    </row>
    <row r="259" spans="1:12" ht="15" thickBot="1" x14ac:dyDescent="0.25">
      <c r="A259" s="22">
        <v>9788131935767</v>
      </c>
      <c r="B259" s="23" t="s">
        <v>107</v>
      </c>
      <c r="C259" s="175"/>
      <c r="D259" s="175" t="s">
        <v>108</v>
      </c>
      <c r="E259" s="68">
        <v>32</v>
      </c>
      <c r="F259" s="91">
        <v>0.1</v>
      </c>
      <c r="G259" s="24"/>
      <c r="H259" s="112">
        <f t="shared" si="9"/>
        <v>0</v>
      </c>
    </row>
    <row r="260" spans="1:12" s="99" customFormat="1" ht="15" thickBot="1" x14ac:dyDescent="0.25">
      <c r="A260" s="111"/>
      <c r="B260" s="191"/>
      <c r="C260" s="149"/>
      <c r="D260" s="149"/>
      <c r="E260" s="106"/>
      <c r="F260" s="105"/>
      <c r="G260" s="107"/>
      <c r="H260" s="196"/>
    </row>
    <row r="261" spans="1:12" s="99" customFormat="1" ht="15" x14ac:dyDescent="0.25">
      <c r="A261" s="256" t="s">
        <v>126</v>
      </c>
      <c r="B261" s="256"/>
      <c r="C261" s="197"/>
      <c r="D261" s="197"/>
      <c r="E261" s="198"/>
      <c r="F261" s="199"/>
      <c r="G261" s="200"/>
      <c r="H261" s="201"/>
      <c r="I261" s="195"/>
      <c r="J261" s="95"/>
      <c r="L261" s="95"/>
    </row>
    <row r="262" spans="1:12" s="99" customFormat="1" x14ac:dyDescent="0.2">
      <c r="A262" s="202">
        <v>9780857771117</v>
      </c>
      <c r="B262" s="200" t="s">
        <v>174</v>
      </c>
      <c r="C262" s="203">
        <v>2</v>
      </c>
      <c r="D262" s="203"/>
      <c r="E262" s="198">
        <v>69</v>
      </c>
      <c r="F262" s="199">
        <v>0.1</v>
      </c>
      <c r="G262" s="200"/>
      <c r="H262" s="204">
        <f t="shared" si="9"/>
        <v>0</v>
      </c>
    </row>
    <row r="263" spans="1:12" s="99" customFormat="1" x14ac:dyDescent="0.2">
      <c r="A263" s="202">
        <v>9781844662166</v>
      </c>
      <c r="B263" s="200" t="s">
        <v>156</v>
      </c>
      <c r="C263" s="203">
        <v>1</v>
      </c>
      <c r="D263" s="203"/>
      <c r="E263" s="198">
        <v>69</v>
      </c>
      <c r="F263" s="199">
        <v>0.1</v>
      </c>
      <c r="G263" s="200"/>
      <c r="H263" s="204">
        <f t="shared" si="9"/>
        <v>0</v>
      </c>
    </row>
    <row r="264" spans="1:12" s="99" customFormat="1" x14ac:dyDescent="0.2">
      <c r="A264" s="202">
        <v>9781844662791</v>
      </c>
      <c r="B264" s="200"/>
      <c r="C264" s="203">
        <v>3</v>
      </c>
      <c r="D264" s="203"/>
      <c r="E264" s="198">
        <v>69</v>
      </c>
      <c r="F264" s="199">
        <v>0.1</v>
      </c>
      <c r="G264" s="200"/>
      <c r="H264" s="204">
        <f t="shared" si="9"/>
        <v>0</v>
      </c>
    </row>
    <row r="265" spans="1:12" s="99" customFormat="1" x14ac:dyDescent="0.2">
      <c r="A265" s="202">
        <v>9781849740524</v>
      </c>
      <c r="B265" s="200" t="s">
        <v>175</v>
      </c>
      <c r="C265" s="203">
        <v>2</v>
      </c>
      <c r="D265" s="203"/>
      <c r="E265" s="198">
        <v>69</v>
      </c>
      <c r="F265" s="199">
        <v>0.1</v>
      </c>
      <c r="G265" s="200"/>
      <c r="H265" s="204">
        <f t="shared" si="9"/>
        <v>0</v>
      </c>
    </row>
    <row r="266" spans="1:12" s="99" customFormat="1" x14ac:dyDescent="0.2">
      <c r="A266" s="202">
        <v>9781849742177</v>
      </c>
      <c r="B266" s="200" t="s">
        <v>176</v>
      </c>
      <c r="C266" s="203">
        <v>1</v>
      </c>
      <c r="D266" s="203"/>
      <c r="E266" s="198">
        <v>69</v>
      </c>
      <c r="F266" s="199">
        <v>0.1</v>
      </c>
      <c r="G266" s="200"/>
      <c r="H266" s="204">
        <f t="shared" si="9"/>
        <v>0</v>
      </c>
    </row>
    <row r="267" spans="1:12" s="99" customFormat="1" x14ac:dyDescent="0.2">
      <c r="A267" s="202">
        <v>9781844669349</v>
      </c>
      <c r="B267" s="200" t="s">
        <v>177</v>
      </c>
      <c r="C267" s="203">
        <v>3</v>
      </c>
      <c r="D267" s="203"/>
      <c r="E267" s="198">
        <v>69</v>
      </c>
      <c r="F267" s="199">
        <v>0.1</v>
      </c>
      <c r="G267" s="200"/>
      <c r="H267" s="204">
        <f t="shared" si="9"/>
        <v>0</v>
      </c>
    </row>
    <row r="268" spans="1:12" s="99" customFormat="1" x14ac:dyDescent="0.2">
      <c r="A268" s="202">
        <v>9781845581213</v>
      </c>
      <c r="B268" s="200" t="s">
        <v>178</v>
      </c>
      <c r="C268" s="203">
        <v>2</v>
      </c>
      <c r="D268" s="203"/>
      <c r="E268" s="198">
        <v>69</v>
      </c>
      <c r="F268" s="199">
        <v>0.1</v>
      </c>
      <c r="G268" s="200"/>
      <c r="H268" s="204">
        <f t="shared" si="9"/>
        <v>0</v>
      </c>
    </row>
    <row r="269" spans="1:12" s="99" customFormat="1" x14ac:dyDescent="0.2">
      <c r="A269" s="202">
        <v>9781845581732</v>
      </c>
      <c r="B269" s="200" t="s">
        <v>158</v>
      </c>
      <c r="C269" s="203">
        <v>3</v>
      </c>
      <c r="D269" s="203"/>
      <c r="E269" s="198">
        <v>69</v>
      </c>
      <c r="F269" s="199">
        <v>0.1</v>
      </c>
      <c r="G269" s="200"/>
      <c r="H269" s="204">
        <f t="shared" si="9"/>
        <v>0</v>
      </c>
    </row>
    <row r="270" spans="1:12" s="99" customFormat="1" x14ac:dyDescent="0.2">
      <c r="A270" s="202">
        <v>9781845582029</v>
      </c>
      <c r="B270" s="200" t="s">
        <v>179</v>
      </c>
      <c r="C270" s="203">
        <v>4</v>
      </c>
      <c r="D270" s="203"/>
      <c r="E270" s="198">
        <v>69</v>
      </c>
      <c r="F270" s="199">
        <v>0.1</v>
      </c>
      <c r="G270" s="200"/>
      <c r="H270" s="204">
        <f t="shared" si="9"/>
        <v>0</v>
      </c>
    </row>
    <row r="271" spans="1:12" s="99" customFormat="1" x14ac:dyDescent="0.2">
      <c r="A271" s="202">
        <v>9781845582067</v>
      </c>
      <c r="B271" s="200" t="s">
        <v>180</v>
      </c>
      <c r="C271" s="203">
        <v>4</v>
      </c>
      <c r="D271" s="203"/>
      <c r="E271" s="198">
        <v>69</v>
      </c>
      <c r="F271" s="199">
        <v>0.1</v>
      </c>
      <c r="G271" s="200"/>
      <c r="H271" s="204">
        <f t="shared" si="9"/>
        <v>0</v>
      </c>
    </row>
    <row r="272" spans="1:12" s="99" customFormat="1" x14ac:dyDescent="0.2">
      <c r="A272" s="202">
        <v>9781845582234</v>
      </c>
      <c r="B272" s="200" t="s">
        <v>132</v>
      </c>
      <c r="C272" s="203">
        <v>3</v>
      </c>
      <c r="D272" s="203"/>
      <c r="E272" s="198">
        <v>69</v>
      </c>
      <c r="F272" s="199">
        <v>0.1</v>
      </c>
      <c r="G272" s="200"/>
      <c r="H272" s="204">
        <f t="shared" si="9"/>
        <v>0</v>
      </c>
    </row>
    <row r="273" spans="1:9" s="99" customFormat="1" x14ac:dyDescent="0.2">
      <c r="A273" s="202">
        <v>9781845588649</v>
      </c>
      <c r="B273" s="200" t="s">
        <v>133</v>
      </c>
      <c r="C273" s="203">
        <v>2</v>
      </c>
      <c r="D273" s="203"/>
      <c r="E273" s="198">
        <v>69</v>
      </c>
      <c r="F273" s="199">
        <v>0.1</v>
      </c>
      <c r="G273" s="200"/>
      <c r="H273" s="204">
        <f t="shared" si="9"/>
        <v>0</v>
      </c>
    </row>
    <row r="274" spans="1:9" s="99" customFormat="1" x14ac:dyDescent="0.2">
      <c r="A274" s="202">
        <v>9781846791307</v>
      </c>
      <c r="B274" s="200" t="s">
        <v>134</v>
      </c>
      <c r="C274" s="203">
        <v>2</v>
      </c>
      <c r="D274" s="203"/>
      <c r="E274" s="198">
        <v>69</v>
      </c>
      <c r="F274" s="199">
        <v>0.1</v>
      </c>
      <c r="G274" s="200"/>
      <c r="H274" s="204">
        <f t="shared" si="9"/>
        <v>0</v>
      </c>
    </row>
    <row r="275" spans="1:9" s="99" customFormat="1" x14ac:dyDescent="0.2">
      <c r="A275" s="202">
        <v>9781846794384</v>
      </c>
      <c r="B275" s="200" t="s">
        <v>135</v>
      </c>
      <c r="C275" s="203">
        <v>4</v>
      </c>
      <c r="D275" s="203"/>
      <c r="E275" s="198">
        <v>69</v>
      </c>
      <c r="F275" s="199">
        <v>0.1</v>
      </c>
      <c r="G275" s="200"/>
      <c r="H275" s="204">
        <f t="shared" si="9"/>
        <v>0</v>
      </c>
    </row>
    <row r="276" spans="1:9" s="99" customFormat="1" x14ac:dyDescent="0.2">
      <c r="A276" s="202">
        <v>9781844663309</v>
      </c>
      <c r="B276" s="200" t="str">
        <f>"THE ADVENTURES OF HUCKLEBERRY FINN READER"</f>
        <v>THE ADVENTURES OF HUCKLEBERRY FINN READER</v>
      </c>
      <c r="C276" s="203"/>
      <c r="D276" s="203"/>
      <c r="E276" s="198">
        <v>69</v>
      </c>
      <c r="F276" s="199">
        <v>0.1</v>
      </c>
      <c r="G276" s="200"/>
      <c r="H276" s="204">
        <f t="shared" si="9"/>
        <v>0</v>
      </c>
    </row>
    <row r="277" spans="1:9" s="99" customFormat="1" x14ac:dyDescent="0.2">
      <c r="A277" s="202">
        <v>9781849742221</v>
      </c>
      <c r="B277" s="200" t="str">
        <f>"JOURNEY TO THE CENTRE OF THE EARTH ILLUSTRATED R"</f>
        <v>JOURNEY TO THE CENTRE OF THE EARTH ILLUSTRATED R</v>
      </c>
      <c r="C277" s="203"/>
      <c r="D277" s="203"/>
      <c r="E277" s="198">
        <v>69</v>
      </c>
      <c r="F277" s="199">
        <v>0.1</v>
      </c>
      <c r="G277" s="200"/>
      <c r="H277" s="204">
        <f t="shared" si="9"/>
        <v>0</v>
      </c>
    </row>
    <row r="278" spans="1:9" s="99" customFormat="1" x14ac:dyDescent="0.2">
      <c r="A278" s="202">
        <v>9781849742269</v>
      </c>
      <c r="B278" s="200" t="str">
        <f>"THE SNOW QUEEN ILLUSTRATED READER WITH CROSS-PLA"</f>
        <v>THE SNOW QUEEN ILLUSTRATED READER WITH CROSS-PLA</v>
      </c>
      <c r="C278" s="203"/>
      <c r="D278" s="203"/>
      <c r="E278" s="198">
        <v>69</v>
      </c>
      <c r="F278" s="199">
        <v>0.1</v>
      </c>
      <c r="G278" s="200"/>
      <c r="H278" s="204">
        <f t="shared" si="9"/>
        <v>0</v>
      </c>
    </row>
    <row r="279" spans="1:9" s="99" customFormat="1" ht="15" thickBot="1" x14ac:dyDescent="0.25">
      <c r="A279" s="202">
        <v>9780857770905</v>
      </c>
      <c r="B279" s="205" t="str">
        <f>"THE TIME MACHINE READER"</f>
        <v>THE TIME MACHINE READER</v>
      </c>
      <c r="C279" s="203"/>
      <c r="D279" s="206"/>
      <c r="E279" s="207">
        <v>69</v>
      </c>
      <c r="F279" s="199">
        <v>0.1</v>
      </c>
      <c r="G279" s="200"/>
      <c r="H279" s="204">
        <f t="shared" si="9"/>
        <v>0</v>
      </c>
    </row>
    <row r="280" spans="1:9" x14ac:dyDescent="0.2">
      <c r="A280" s="192"/>
      <c r="C280" s="194"/>
      <c r="F280" s="193"/>
      <c r="G280" s="192"/>
      <c r="H280" s="108"/>
      <c r="I280" s="215"/>
    </row>
    <row r="281" spans="1:9" ht="15" thickBot="1" x14ac:dyDescent="0.25">
      <c r="A281" s="146"/>
      <c r="C281" s="212"/>
      <c r="E281" s="213"/>
      <c r="F281" s="214"/>
      <c r="G281" s="146"/>
      <c r="H281" s="134"/>
      <c r="I281" s="215"/>
    </row>
    <row r="282" spans="1:9" ht="15" x14ac:dyDescent="0.25">
      <c r="A282" s="216" t="s">
        <v>127</v>
      </c>
      <c r="B282" s="217"/>
      <c r="C282" s="218"/>
      <c r="D282" s="219"/>
      <c r="E282" s="220"/>
      <c r="F282" s="221"/>
      <c r="G282" s="222"/>
      <c r="H282" s="223"/>
      <c r="I282" s="215"/>
    </row>
    <row r="283" spans="1:9" x14ac:dyDescent="0.2">
      <c r="A283" s="224">
        <v>9781842161883</v>
      </c>
      <c r="B283" s="222" t="s">
        <v>173</v>
      </c>
      <c r="C283" s="218">
        <v>3</v>
      </c>
      <c r="D283" s="218"/>
      <c r="E283" s="220">
        <v>69</v>
      </c>
      <c r="F283" s="221">
        <v>0.1</v>
      </c>
      <c r="G283" s="222"/>
      <c r="H283" s="225">
        <f t="shared" si="9"/>
        <v>0</v>
      </c>
    </row>
    <row r="284" spans="1:9" x14ac:dyDescent="0.2">
      <c r="A284" s="224">
        <v>9781842161906</v>
      </c>
      <c r="B284" s="222" t="s">
        <v>136</v>
      </c>
      <c r="C284" s="218">
        <v>4</v>
      </c>
      <c r="D284" s="218"/>
      <c r="E284" s="220">
        <v>69</v>
      </c>
      <c r="F284" s="221">
        <v>0.1</v>
      </c>
      <c r="G284" s="222"/>
      <c r="H284" s="225">
        <f t="shared" si="9"/>
        <v>0</v>
      </c>
    </row>
    <row r="285" spans="1:9" x14ac:dyDescent="0.2">
      <c r="A285" s="224">
        <v>9781849742405</v>
      </c>
      <c r="B285" s="222" t="s">
        <v>171</v>
      </c>
      <c r="C285" s="218">
        <v>1</v>
      </c>
      <c r="D285" s="218"/>
      <c r="E285" s="220">
        <v>69</v>
      </c>
      <c r="F285" s="221">
        <v>0.1</v>
      </c>
      <c r="G285" s="222"/>
      <c r="H285" s="225">
        <f t="shared" si="9"/>
        <v>0</v>
      </c>
    </row>
    <row r="286" spans="1:9" x14ac:dyDescent="0.2">
      <c r="A286" s="224">
        <v>9781842161661</v>
      </c>
      <c r="B286" s="222" t="s">
        <v>172</v>
      </c>
      <c r="C286" s="218">
        <v>3</v>
      </c>
      <c r="D286" s="218"/>
      <c r="E286" s="220">
        <v>69</v>
      </c>
      <c r="F286" s="221">
        <v>0.1</v>
      </c>
      <c r="G286" s="222"/>
      <c r="H286" s="225">
        <f t="shared" si="9"/>
        <v>0</v>
      </c>
    </row>
    <row r="287" spans="1:9" x14ac:dyDescent="0.2">
      <c r="A287" s="224">
        <v>9781842161722</v>
      </c>
      <c r="B287" s="222" t="s">
        <v>137</v>
      </c>
      <c r="C287" s="218">
        <v>4</v>
      </c>
      <c r="D287" s="218"/>
      <c r="E287" s="220">
        <v>69</v>
      </c>
      <c r="F287" s="221">
        <v>0.1</v>
      </c>
      <c r="G287" s="222"/>
      <c r="H287" s="225">
        <f t="shared" si="9"/>
        <v>0</v>
      </c>
    </row>
    <row r="288" spans="1:9" x14ac:dyDescent="0.2">
      <c r="A288" s="224">
        <v>9781842161548</v>
      </c>
      <c r="B288" s="222" t="s">
        <v>138</v>
      </c>
      <c r="C288" s="218">
        <v>1</v>
      </c>
      <c r="D288" s="218"/>
      <c r="E288" s="220">
        <v>69</v>
      </c>
      <c r="F288" s="221">
        <v>0.1</v>
      </c>
      <c r="G288" s="222"/>
      <c r="H288" s="225">
        <f t="shared" si="9"/>
        <v>0</v>
      </c>
    </row>
    <row r="289" spans="1:8" x14ac:dyDescent="0.2">
      <c r="A289" s="224">
        <v>9781842161500</v>
      </c>
      <c r="B289" s="222" t="s">
        <v>142</v>
      </c>
      <c r="C289" s="218">
        <v>1</v>
      </c>
      <c r="D289" s="218"/>
      <c r="E289" s="220">
        <v>69</v>
      </c>
      <c r="F289" s="221">
        <v>0.1</v>
      </c>
      <c r="G289" s="222"/>
      <c r="H289" s="225">
        <f t="shared" si="9"/>
        <v>0</v>
      </c>
    </row>
    <row r="290" spans="1:8" x14ac:dyDescent="0.2">
      <c r="A290" s="224">
        <v>9781842161869</v>
      </c>
      <c r="B290" s="222" t="s">
        <v>141</v>
      </c>
      <c r="C290" s="218">
        <v>2</v>
      </c>
      <c r="D290" s="218"/>
      <c r="E290" s="220">
        <v>69</v>
      </c>
      <c r="F290" s="221">
        <v>0.1</v>
      </c>
      <c r="G290" s="222"/>
      <c r="H290" s="225">
        <f t="shared" si="9"/>
        <v>0</v>
      </c>
    </row>
    <row r="291" spans="1:8" x14ac:dyDescent="0.2">
      <c r="A291" s="224">
        <v>9781842161845</v>
      </c>
      <c r="B291" s="222" t="s">
        <v>140</v>
      </c>
      <c r="C291" s="218">
        <v>2</v>
      </c>
      <c r="D291" s="218"/>
      <c r="E291" s="220">
        <v>69</v>
      </c>
      <c r="F291" s="221">
        <v>0.1</v>
      </c>
      <c r="G291" s="222"/>
      <c r="H291" s="225">
        <f t="shared" si="9"/>
        <v>0</v>
      </c>
    </row>
    <row r="292" spans="1:8" x14ac:dyDescent="0.2">
      <c r="A292" s="224">
        <v>9781842161821</v>
      </c>
      <c r="B292" s="222" t="s">
        <v>139</v>
      </c>
      <c r="C292" s="218">
        <v>2</v>
      </c>
      <c r="D292" s="218"/>
      <c r="E292" s="220">
        <v>69</v>
      </c>
      <c r="F292" s="221">
        <v>0.1</v>
      </c>
      <c r="G292" s="222"/>
      <c r="H292" s="225">
        <f t="shared" si="9"/>
        <v>0</v>
      </c>
    </row>
    <row r="293" spans="1:8" x14ac:dyDescent="0.2">
      <c r="A293" s="224">
        <v>9781842161623</v>
      </c>
      <c r="B293" s="222" t="s">
        <v>153</v>
      </c>
      <c r="C293" s="218">
        <v>3</v>
      </c>
      <c r="D293" s="218"/>
      <c r="E293" s="220">
        <v>69</v>
      </c>
      <c r="F293" s="221">
        <v>0.1</v>
      </c>
      <c r="G293" s="222"/>
      <c r="H293" s="225">
        <f t="shared" si="9"/>
        <v>0</v>
      </c>
    </row>
    <row r="294" spans="1:8" x14ac:dyDescent="0.2">
      <c r="A294" s="224">
        <v>9781842161524</v>
      </c>
      <c r="B294" s="222" t="s">
        <v>152</v>
      </c>
      <c r="C294" s="218">
        <v>1</v>
      </c>
      <c r="D294" s="218"/>
      <c r="E294" s="220">
        <v>69</v>
      </c>
      <c r="F294" s="221">
        <v>0.1</v>
      </c>
      <c r="G294" s="222"/>
      <c r="H294" s="225">
        <f t="shared" si="9"/>
        <v>0</v>
      </c>
    </row>
    <row r="295" spans="1:8" x14ac:dyDescent="0.2">
      <c r="A295" s="224">
        <v>9781849742467</v>
      </c>
      <c r="B295" s="222" t="s">
        <v>151</v>
      </c>
      <c r="C295" s="218">
        <v>2</v>
      </c>
      <c r="D295" s="218"/>
      <c r="E295" s="220">
        <v>69</v>
      </c>
      <c r="F295" s="221">
        <v>0.1</v>
      </c>
      <c r="G295" s="222"/>
      <c r="H295" s="225">
        <f t="shared" si="9"/>
        <v>0</v>
      </c>
    </row>
    <row r="296" spans="1:8" x14ac:dyDescent="0.2">
      <c r="A296" s="224">
        <v>9781842161562</v>
      </c>
      <c r="B296" s="222" t="s">
        <v>150</v>
      </c>
      <c r="C296" s="218">
        <v>2</v>
      </c>
      <c r="D296" s="218"/>
      <c r="E296" s="220">
        <v>69</v>
      </c>
      <c r="F296" s="221">
        <v>0.1</v>
      </c>
      <c r="G296" s="222"/>
      <c r="H296" s="225">
        <f t="shared" si="9"/>
        <v>0</v>
      </c>
    </row>
    <row r="297" spans="1:8" x14ac:dyDescent="0.2">
      <c r="A297" s="224">
        <v>9781842161609</v>
      </c>
      <c r="B297" s="222" t="s">
        <v>149</v>
      </c>
      <c r="C297" s="218">
        <v>2</v>
      </c>
      <c r="D297" s="218"/>
      <c r="E297" s="220">
        <v>69</v>
      </c>
      <c r="F297" s="221">
        <v>0.1</v>
      </c>
      <c r="G297" s="222"/>
      <c r="H297" s="225">
        <f t="shared" si="9"/>
        <v>0</v>
      </c>
    </row>
    <row r="298" spans="1:8" x14ac:dyDescent="0.2">
      <c r="A298" s="224">
        <v>9781842161685</v>
      </c>
      <c r="B298" s="222" t="s">
        <v>148</v>
      </c>
      <c r="C298" s="218">
        <v>3</v>
      </c>
      <c r="D298" s="218"/>
      <c r="E298" s="220">
        <v>69</v>
      </c>
      <c r="F298" s="221">
        <v>0.1</v>
      </c>
      <c r="G298" s="222"/>
      <c r="H298" s="225">
        <f t="shared" si="9"/>
        <v>0</v>
      </c>
    </row>
    <row r="299" spans="1:8" x14ac:dyDescent="0.2">
      <c r="A299" s="224">
        <v>9781842161760</v>
      </c>
      <c r="B299" s="222" t="s">
        <v>147</v>
      </c>
      <c r="C299" s="218">
        <v>4</v>
      </c>
      <c r="D299" s="218"/>
      <c r="E299" s="220">
        <v>69</v>
      </c>
      <c r="F299" s="221">
        <v>0.1</v>
      </c>
      <c r="G299" s="222"/>
      <c r="H299" s="225">
        <f t="shared" si="9"/>
        <v>0</v>
      </c>
    </row>
    <row r="300" spans="1:8" x14ac:dyDescent="0.2">
      <c r="A300" s="224">
        <v>9781842161708</v>
      </c>
      <c r="B300" s="222" t="s">
        <v>146</v>
      </c>
      <c r="C300" s="218">
        <v>4</v>
      </c>
      <c r="D300" s="218"/>
      <c r="E300" s="220">
        <v>69</v>
      </c>
      <c r="F300" s="221">
        <v>0.1</v>
      </c>
      <c r="G300" s="222"/>
      <c r="H300" s="225">
        <f t="shared" si="9"/>
        <v>0</v>
      </c>
    </row>
    <row r="301" spans="1:8" x14ac:dyDescent="0.2">
      <c r="A301" s="224">
        <v>9781843259244</v>
      </c>
      <c r="B301" s="222" t="s">
        <v>145</v>
      </c>
      <c r="C301" s="218">
        <v>5</v>
      </c>
      <c r="D301" s="218"/>
      <c r="E301" s="220">
        <v>69</v>
      </c>
      <c r="F301" s="221">
        <v>0.1</v>
      </c>
      <c r="G301" s="222"/>
      <c r="H301" s="225">
        <f t="shared" si="9"/>
        <v>0</v>
      </c>
    </row>
    <row r="302" spans="1:8" x14ac:dyDescent="0.2">
      <c r="A302" s="224">
        <v>9781842161647</v>
      </c>
      <c r="B302" s="222" t="s">
        <v>144</v>
      </c>
      <c r="C302" s="218">
        <v>3</v>
      </c>
      <c r="D302" s="218"/>
      <c r="E302" s="220">
        <v>69</v>
      </c>
      <c r="F302" s="221">
        <v>0.1</v>
      </c>
      <c r="G302" s="222"/>
      <c r="H302" s="225">
        <f t="shared" si="9"/>
        <v>0</v>
      </c>
    </row>
    <row r="303" spans="1:8" x14ac:dyDescent="0.2">
      <c r="A303" s="224">
        <v>9781842161746</v>
      </c>
      <c r="B303" s="222" t="s">
        <v>154</v>
      </c>
      <c r="C303" s="218">
        <v>4</v>
      </c>
      <c r="D303" s="218"/>
      <c r="E303" s="220">
        <v>69</v>
      </c>
      <c r="F303" s="221">
        <v>0.1</v>
      </c>
      <c r="G303" s="222"/>
      <c r="H303" s="225">
        <f t="shared" si="9"/>
        <v>0</v>
      </c>
    </row>
    <row r="304" spans="1:8" ht="15" thickBot="1" x14ac:dyDescent="0.25">
      <c r="A304" s="226">
        <v>9781849742344</v>
      </c>
      <c r="B304" s="227" t="s">
        <v>143</v>
      </c>
      <c r="C304" s="228">
        <v>1</v>
      </c>
      <c r="D304" s="228"/>
      <c r="E304" s="229">
        <v>69</v>
      </c>
      <c r="F304" s="230">
        <v>0.1</v>
      </c>
      <c r="G304" s="227"/>
      <c r="H304" s="231">
        <f t="shared" si="9"/>
        <v>0</v>
      </c>
    </row>
    <row r="305" spans="1:8" ht="15" thickBot="1" x14ac:dyDescent="0.25">
      <c r="A305" s="208"/>
      <c r="C305" s="209"/>
      <c r="F305" s="210"/>
      <c r="G305" s="208"/>
      <c r="H305" s="232"/>
    </row>
    <row r="306" spans="1:8" s="233" customFormat="1" ht="15" x14ac:dyDescent="0.25">
      <c r="A306" s="234" t="s">
        <v>128</v>
      </c>
      <c r="B306" s="235"/>
      <c r="C306" s="236"/>
      <c r="D306" s="236"/>
      <c r="E306" s="237"/>
      <c r="F306" s="238"/>
      <c r="G306" s="235"/>
      <c r="H306" s="239"/>
    </row>
    <row r="307" spans="1:8" x14ac:dyDescent="0.2">
      <c r="A307" s="240">
        <v>9781471542510</v>
      </c>
      <c r="B307" s="241" t="s">
        <v>155</v>
      </c>
      <c r="C307" s="242">
        <v>6</v>
      </c>
      <c r="D307" s="242"/>
      <c r="E307" s="243">
        <v>69</v>
      </c>
      <c r="F307" s="244">
        <v>0.1</v>
      </c>
      <c r="G307" s="241"/>
      <c r="H307" s="245">
        <f t="shared" si="9"/>
        <v>0</v>
      </c>
    </row>
    <row r="308" spans="1:8" x14ac:dyDescent="0.2">
      <c r="A308" s="240">
        <v>9781471554018</v>
      </c>
      <c r="B308" s="241" t="s">
        <v>170</v>
      </c>
      <c r="C308" s="242">
        <v>4</v>
      </c>
      <c r="D308" s="242"/>
      <c r="E308" s="243">
        <v>69</v>
      </c>
      <c r="F308" s="244">
        <v>0.1</v>
      </c>
      <c r="G308" s="241"/>
      <c r="H308" s="245">
        <f t="shared" si="9"/>
        <v>0</v>
      </c>
    </row>
    <row r="309" spans="1:8" x14ac:dyDescent="0.2">
      <c r="A309" s="240">
        <v>9781844661121</v>
      </c>
      <c r="B309" s="241" t="s">
        <v>156</v>
      </c>
      <c r="C309" s="242">
        <v>2</v>
      </c>
      <c r="D309" s="242"/>
      <c r="E309" s="243">
        <v>69</v>
      </c>
      <c r="F309" s="244">
        <v>0.1</v>
      </c>
      <c r="G309" s="241"/>
      <c r="H309" s="245">
        <f t="shared" si="9"/>
        <v>0</v>
      </c>
    </row>
    <row r="310" spans="1:8" x14ac:dyDescent="0.2">
      <c r="A310" s="240">
        <v>9781844661084</v>
      </c>
      <c r="B310" s="241" t="s">
        <v>157</v>
      </c>
      <c r="C310" s="242">
        <v>4</v>
      </c>
      <c r="D310" s="242"/>
      <c r="E310" s="243">
        <v>69</v>
      </c>
      <c r="F310" s="244">
        <v>0.1</v>
      </c>
      <c r="G310" s="241"/>
      <c r="H310" s="245">
        <f t="shared" si="9"/>
        <v>0</v>
      </c>
    </row>
    <row r="311" spans="1:8" x14ac:dyDescent="0.2">
      <c r="A311" s="240">
        <v>9781844664788</v>
      </c>
      <c r="B311" s="241" t="s">
        <v>158</v>
      </c>
      <c r="C311" s="242">
        <v>3</v>
      </c>
      <c r="D311" s="242"/>
      <c r="E311" s="243">
        <v>69</v>
      </c>
      <c r="F311" s="244">
        <v>0.1</v>
      </c>
      <c r="G311" s="241"/>
      <c r="H311" s="245">
        <f t="shared" si="9"/>
        <v>0</v>
      </c>
    </row>
    <row r="312" spans="1:8" x14ac:dyDescent="0.2">
      <c r="A312" s="240">
        <v>9781844668472</v>
      </c>
      <c r="B312" s="241" t="s">
        <v>159</v>
      </c>
      <c r="C312" s="242">
        <v>1</v>
      </c>
      <c r="D312" s="242"/>
      <c r="E312" s="243">
        <v>69</v>
      </c>
      <c r="F312" s="244">
        <v>0.1</v>
      </c>
      <c r="G312" s="241"/>
      <c r="H312" s="245">
        <f t="shared" si="9"/>
        <v>0</v>
      </c>
    </row>
    <row r="313" spans="1:8" x14ac:dyDescent="0.2">
      <c r="A313" s="240">
        <v>9781844669639</v>
      </c>
      <c r="B313" s="241" t="s">
        <v>160</v>
      </c>
      <c r="C313" s="242">
        <v>5</v>
      </c>
      <c r="D313" s="242"/>
      <c r="E313" s="243">
        <v>69</v>
      </c>
      <c r="F313" s="244">
        <v>0.1</v>
      </c>
      <c r="G313" s="241"/>
      <c r="H313" s="245">
        <f t="shared" si="9"/>
        <v>0</v>
      </c>
    </row>
    <row r="314" spans="1:8" x14ac:dyDescent="0.2">
      <c r="A314" s="240">
        <v>9781845585778</v>
      </c>
      <c r="B314" s="241" t="s">
        <v>161</v>
      </c>
      <c r="C314" s="242">
        <v>2</v>
      </c>
      <c r="D314" s="242"/>
      <c r="E314" s="243">
        <v>69</v>
      </c>
      <c r="F314" s="244">
        <v>0.1</v>
      </c>
      <c r="G314" s="241"/>
      <c r="H314" s="245">
        <f t="shared" si="9"/>
        <v>0</v>
      </c>
    </row>
    <row r="315" spans="1:8" x14ac:dyDescent="0.2">
      <c r="A315" s="240">
        <v>9781845588168</v>
      </c>
      <c r="B315" s="241" t="s">
        <v>162</v>
      </c>
      <c r="C315" s="242">
        <v>6</v>
      </c>
      <c r="D315" s="242"/>
      <c r="E315" s="243">
        <v>69</v>
      </c>
      <c r="F315" s="244">
        <v>0.1</v>
      </c>
      <c r="G315" s="241"/>
      <c r="H315" s="245">
        <f t="shared" si="9"/>
        <v>0</v>
      </c>
    </row>
    <row r="316" spans="1:8" x14ac:dyDescent="0.2">
      <c r="A316" s="240">
        <v>9781846793943</v>
      </c>
      <c r="B316" s="241" t="s">
        <v>163</v>
      </c>
      <c r="C316" s="242">
        <v>3</v>
      </c>
      <c r="D316" s="242"/>
      <c r="E316" s="243">
        <v>69</v>
      </c>
      <c r="F316" s="244">
        <v>0.1</v>
      </c>
      <c r="G316" s="241"/>
      <c r="H316" s="245">
        <f t="shared" si="9"/>
        <v>0</v>
      </c>
    </row>
    <row r="317" spans="1:8" x14ac:dyDescent="0.2">
      <c r="A317" s="240">
        <v>9781846798351</v>
      </c>
      <c r="B317" s="241" t="s">
        <v>164</v>
      </c>
      <c r="C317" s="242">
        <v>6</v>
      </c>
      <c r="D317" s="242"/>
      <c r="E317" s="243">
        <v>69</v>
      </c>
      <c r="F317" s="244">
        <v>0.1</v>
      </c>
      <c r="G317" s="241"/>
      <c r="H317" s="245">
        <f t="shared" ref="H317:H322" si="10">IF(G317&gt;0,(E317*G317)-(F317*E317),0)</f>
        <v>0</v>
      </c>
    </row>
    <row r="318" spans="1:8" x14ac:dyDescent="0.2">
      <c r="A318" s="240">
        <v>9781848627123</v>
      </c>
      <c r="B318" s="241" t="s">
        <v>165</v>
      </c>
      <c r="C318" s="242">
        <v>4</v>
      </c>
      <c r="D318" s="242"/>
      <c r="E318" s="243">
        <v>69</v>
      </c>
      <c r="F318" s="244">
        <v>0.1</v>
      </c>
      <c r="G318" s="241"/>
      <c r="H318" s="245">
        <f t="shared" si="10"/>
        <v>0</v>
      </c>
    </row>
    <row r="319" spans="1:8" x14ac:dyDescent="0.2">
      <c r="A319" s="240">
        <v>9781848629493</v>
      </c>
      <c r="B319" s="241" t="s">
        <v>166</v>
      </c>
      <c r="C319" s="242">
        <v>6</v>
      </c>
      <c r="D319" s="242"/>
      <c r="E319" s="243">
        <v>69</v>
      </c>
      <c r="F319" s="244">
        <v>0.1</v>
      </c>
      <c r="G319" s="241"/>
      <c r="H319" s="245">
        <f t="shared" si="10"/>
        <v>0</v>
      </c>
    </row>
    <row r="320" spans="1:8" x14ac:dyDescent="0.2">
      <c r="A320" s="240">
        <v>9781471520075</v>
      </c>
      <c r="B320" s="241" t="s">
        <v>167</v>
      </c>
      <c r="C320" s="242">
        <v>4</v>
      </c>
      <c r="D320" s="242"/>
      <c r="E320" s="243">
        <v>69</v>
      </c>
      <c r="F320" s="244">
        <v>0.1</v>
      </c>
      <c r="G320" s="241"/>
      <c r="H320" s="245">
        <f t="shared" si="10"/>
        <v>0</v>
      </c>
    </row>
    <row r="321" spans="1:8" x14ac:dyDescent="0.2">
      <c r="A321" s="240">
        <v>9781849741286</v>
      </c>
      <c r="B321" s="241" t="s">
        <v>168</v>
      </c>
      <c r="C321" s="242">
        <v>5</v>
      </c>
      <c r="D321" s="242"/>
      <c r="E321" s="243">
        <v>69</v>
      </c>
      <c r="F321" s="244">
        <v>0.1</v>
      </c>
      <c r="G321" s="241"/>
      <c r="H321" s="245">
        <f t="shared" si="10"/>
        <v>0</v>
      </c>
    </row>
    <row r="322" spans="1:8" ht="15" thickBot="1" x14ac:dyDescent="0.25">
      <c r="A322" s="246">
        <v>9781849741323</v>
      </c>
      <c r="B322" s="247" t="s">
        <v>169</v>
      </c>
      <c r="C322" s="248">
        <v>1</v>
      </c>
      <c r="D322" s="248"/>
      <c r="E322" s="249">
        <v>69</v>
      </c>
      <c r="F322" s="250">
        <v>0.1</v>
      </c>
      <c r="G322" s="247"/>
      <c r="H322" s="251">
        <f t="shared" si="10"/>
        <v>0</v>
      </c>
    </row>
    <row r="323" spans="1:8" x14ac:dyDescent="0.2">
      <c r="A323" s="208"/>
      <c r="C323" s="209"/>
      <c r="F323" s="210"/>
      <c r="G323" s="208"/>
      <c r="H323" s="211"/>
    </row>
    <row r="324" spans="1:8" x14ac:dyDescent="0.2">
      <c r="G324" t="s">
        <v>124</v>
      </c>
      <c r="H324" s="93">
        <f>SUM(H3:H322)</f>
        <v>0</v>
      </c>
    </row>
    <row r="325" spans="1:8" ht="15" thickBot="1" x14ac:dyDescent="0.25">
      <c r="G325" s="146"/>
    </row>
  </sheetData>
  <sheetProtection formatCells="0" formatColumns="0" formatRows="0" deleteColumns="0" deleteRows="0"/>
  <protectedRanges>
    <protectedRange password="C91D" sqref="G1:G1048576" name="QTY" securityDescriptor="O:WDG:WDD:(A;;CC;;;S-1-5-21-3271969705-2985625340-1754322306-501)"/>
  </protectedRanges>
  <sortState xmlns:xlrd2="http://schemas.microsoft.com/office/spreadsheetml/2017/richdata2" ref="A233:D247">
    <sortCondition ref="D233:D247"/>
  </sortState>
  <mergeCells count="12">
    <mergeCell ref="A261:B261"/>
    <mergeCell ref="I1:L1"/>
    <mergeCell ref="A251:B251"/>
    <mergeCell ref="A170:B171"/>
    <mergeCell ref="A189:B189"/>
    <mergeCell ref="A2:B2"/>
    <mergeCell ref="A232:B232"/>
    <mergeCell ref="A19:B19"/>
    <mergeCell ref="A49:B49"/>
    <mergeCell ref="A80:B80"/>
    <mergeCell ref="A105:B105"/>
    <mergeCell ref="A150:B150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WITHOUT CD</vt:lpstr>
      <vt:lpstr>'WITHOUT CD'!Print_Area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</dc:creator>
  <cp:lastModifiedBy>Daphne Eden</cp:lastModifiedBy>
  <cp:lastPrinted>2019-01-20T11:51:51Z</cp:lastPrinted>
  <dcterms:created xsi:type="dcterms:W3CDTF">2014-12-03T10:52:39Z</dcterms:created>
  <dcterms:modified xsi:type="dcterms:W3CDTF">2019-01-28T10:34:39Z</dcterms:modified>
</cp:coreProperties>
</file>